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80" windowWidth="20550" windowHeight="3750"/>
  </bookViews>
  <sheets>
    <sheet name="Individual" sheetId="2" r:id="rId1"/>
    <sheet name="Joint Operation" sheetId="3" r:id="rId2"/>
  </sheets>
  <externalReferences>
    <externalReference r:id="rId3"/>
    <externalReference r:id="rId4"/>
  </externalReferences>
  <definedNames>
    <definedName name="_xlnm.Print_Area" localSheetId="0">Individual!$A$3:$H$51</definedName>
    <definedName name="_xlnm.Print_Area" localSheetId="1">'Joint Operation'!$A$1:$H$54</definedName>
  </definedNames>
  <calcPr calcId="125725"/>
  <fileRecoveryPr repairLoad="1"/>
</workbook>
</file>

<file path=xl/calcChain.xml><?xml version="1.0" encoding="utf-8"?>
<calcChain xmlns="http://schemas.openxmlformats.org/spreadsheetml/2006/main">
  <c r="D9" i="3"/>
  <c r="E217"/>
  <c r="K359" i="2" l="1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J359"/>
  <c r="J353"/>
  <c r="J351"/>
  <c r="J350"/>
  <c r="J349"/>
  <c r="J347"/>
  <c r="J346"/>
  <c r="J344"/>
  <c r="J343"/>
  <c r="J342"/>
  <c r="J341"/>
  <c r="J340"/>
  <c r="J338"/>
  <c r="J335"/>
  <c r="J334"/>
  <c r="J333"/>
  <c r="J332"/>
  <c r="J331"/>
  <c r="J330"/>
  <c r="J329"/>
  <c r="J328"/>
  <c r="J327"/>
  <c r="J326"/>
  <c r="J324"/>
  <c r="J321"/>
  <c r="J320"/>
  <c r="J319"/>
  <c r="J318"/>
  <c r="J315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G359"/>
  <c r="G353"/>
  <c r="G351"/>
  <c r="G350"/>
  <c r="G349"/>
  <c r="G347"/>
  <c r="G346"/>
  <c r="G344"/>
  <c r="G343"/>
  <c r="G342"/>
  <c r="G341"/>
  <c r="G340"/>
  <c r="G338"/>
  <c r="G335"/>
  <c r="G334"/>
  <c r="G333"/>
  <c r="G332"/>
  <c r="G331"/>
  <c r="G330"/>
  <c r="G329"/>
  <c r="G328"/>
  <c r="G327"/>
  <c r="G326"/>
  <c r="G324"/>
  <c r="G321"/>
  <c r="G320"/>
  <c r="G319"/>
  <c r="G318"/>
  <c r="G315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K293"/>
  <c r="K292"/>
  <c r="K291"/>
  <c r="K290"/>
  <c r="K289"/>
  <c r="K288"/>
  <c r="K287"/>
  <c r="K286"/>
  <c r="K285"/>
  <c r="K284"/>
  <c r="J293"/>
  <c r="J292"/>
  <c r="J291"/>
  <c r="J290"/>
  <c r="J289"/>
  <c r="J288"/>
  <c r="J287"/>
  <c r="J285"/>
  <c r="J284"/>
  <c r="I293"/>
  <c r="I292"/>
  <c r="I291"/>
  <c r="I290"/>
  <c r="I289"/>
  <c r="I288"/>
  <c r="I287"/>
  <c r="I286"/>
  <c r="I285"/>
  <c r="I284"/>
  <c r="H293"/>
  <c r="H292"/>
  <c r="H291"/>
  <c r="H290"/>
  <c r="H289"/>
  <c r="H288"/>
  <c r="H287"/>
  <c r="H286"/>
  <c r="H285"/>
  <c r="H284"/>
  <c r="G293"/>
  <c r="G292"/>
  <c r="G291"/>
  <c r="G290"/>
  <c r="G289"/>
  <c r="G288"/>
  <c r="G287"/>
  <c r="G285"/>
  <c r="G284"/>
  <c r="F293"/>
  <c r="F292"/>
  <c r="F291"/>
  <c r="F290"/>
  <c r="F289"/>
  <c r="F288"/>
  <c r="F287"/>
  <c r="F286"/>
  <c r="F285"/>
  <c r="F284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K235"/>
  <c r="J235"/>
  <c r="K234"/>
  <c r="J234"/>
  <c r="K233"/>
  <c r="J23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K189"/>
  <c r="K188"/>
  <c r="K187"/>
  <c r="K186"/>
  <c r="K185"/>
  <c r="K184"/>
  <c r="K183"/>
  <c r="K182"/>
  <c r="K181"/>
  <c r="K180"/>
  <c r="K179"/>
  <c r="K178"/>
  <c r="K177"/>
  <c r="K176"/>
  <c r="K175"/>
  <c r="J189"/>
  <c r="J188"/>
  <c r="J187"/>
  <c r="J186"/>
  <c r="J185"/>
  <c r="J184"/>
  <c r="J183"/>
  <c r="J182"/>
  <c r="J181"/>
  <c r="J180"/>
  <c r="J179"/>
  <c r="J178"/>
  <c r="J177"/>
  <c r="J176"/>
  <c r="J175"/>
  <c r="I189"/>
  <c r="I188"/>
  <c r="I187"/>
  <c r="I186"/>
  <c r="I185"/>
  <c r="I184"/>
  <c r="I183"/>
  <c r="I182"/>
  <c r="I181"/>
  <c r="I180"/>
  <c r="I179"/>
  <c r="I178"/>
  <c r="I177"/>
  <c r="I176"/>
  <c r="I175"/>
  <c r="H189"/>
  <c r="H188"/>
  <c r="H187"/>
  <c r="H186"/>
  <c r="H185"/>
  <c r="H184"/>
  <c r="H183"/>
  <c r="H182"/>
  <c r="H181"/>
  <c r="H180"/>
  <c r="H179"/>
  <c r="H178"/>
  <c r="H177"/>
  <c r="H176"/>
  <c r="H175"/>
  <c r="G189"/>
  <c r="G188"/>
  <c r="G187"/>
  <c r="G186"/>
  <c r="G185"/>
  <c r="G184"/>
  <c r="G183"/>
  <c r="G182"/>
  <c r="G181"/>
  <c r="G180"/>
  <c r="G179"/>
  <c r="G178"/>
  <c r="G177"/>
  <c r="G176"/>
  <c r="G175"/>
  <c r="F189"/>
  <c r="F188"/>
  <c r="F187"/>
  <c r="F186"/>
  <c r="F185"/>
  <c r="F184"/>
  <c r="F183"/>
  <c r="F182"/>
  <c r="F181"/>
  <c r="F180"/>
  <c r="F179"/>
  <c r="F178"/>
  <c r="F177"/>
  <c r="F176"/>
  <c r="F175"/>
  <c r="K174"/>
  <c r="J174"/>
  <c r="I174"/>
  <c r="H174"/>
  <c r="G174"/>
  <c r="F174"/>
  <c r="B177" i="3"/>
  <c r="B182" s="1"/>
  <c r="B159"/>
  <c r="E159"/>
  <c r="E164" s="1"/>
  <c r="E170" s="1"/>
  <c r="E177" s="1"/>
  <c r="E182" s="1"/>
  <c r="D159"/>
  <c r="D164"/>
  <c r="D170"/>
  <c r="A320"/>
  <c r="A315"/>
  <c r="A257"/>
  <c r="A199"/>
  <c r="A234"/>
  <c r="H321"/>
  <c r="H319"/>
  <c r="H318"/>
  <c r="H317"/>
  <c r="H316"/>
  <c r="G319"/>
  <c r="G318"/>
  <c r="G317"/>
  <c r="G316"/>
  <c r="F319"/>
  <c r="F318"/>
  <c r="F317"/>
  <c r="F316"/>
  <c r="H310"/>
  <c r="H308"/>
  <c r="H307"/>
  <c r="H306"/>
  <c r="H305"/>
  <c r="G308"/>
  <c r="G307"/>
  <c r="G306"/>
  <c r="F308"/>
  <c r="F307"/>
  <c r="F306"/>
  <c r="G305"/>
  <c r="F305"/>
  <c r="B228"/>
  <c r="E228"/>
  <c r="D228"/>
  <c r="B217"/>
  <c r="D51"/>
  <c r="D57"/>
  <c r="D62"/>
  <c r="D45"/>
  <c r="D40"/>
  <c r="A26"/>
  <c r="H275"/>
  <c r="H270"/>
  <c r="H265"/>
  <c r="H262"/>
  <c r="H261"/>
  <c r="H260"/>
  <c r="H259"/>
  <c r="G262"/>
  <c r="G261"/>
  <c r="G260"/>
  <c r="G259"/>
  <c r="F262"/>
  <c r="F261"/>
  <c r="F260"/>
  <c r="F259"/>
  <c r="H252"/>
  <c r="H247"/>
  <c r="H242"/>
  <c r="H239"/>
  <c r="H238"/>
  <c r="H237"/>
  <c r="H236"/>
  <c r="G239"/>
  <c r="G238"/>
  <c r="G237"/>
  <c r="G236"/>
  <c r="F239"/>
  <c r="F238"/>
  <c r="F237"/>
  <c r="F236"/>
  <c r="H226"/>
  <c r="H225"/>
  <c r="H224"/>
  <c r="H223"/>
  <c r="G226"/>
  <c r="G225"/>
  <c r="G224"/>
  <c r="G223"/>
  <c r="F226"/>
  <c r="F225"/>
  <c r="F224"/>
  <c r="F223"/>
  <c r="H215"/>
  <c r="H214"/>
  <c r="H213"/>
  <c r="H212"/>
  <c r="G215"/>
  <c r="G214"/>
  <c r="G213"/>
  <c r="G212"/>
  <c r="F215"/>
  <c r="F214"/>
  <c r="F213"/>
  <c r="F212"/>
  <c r="H145"/>
  <c r="H142"/>
  <c r="H141"/>
  <c r="H140"/>
  <c r="H139"/>
  <c r="G142"/>
  <c r="G141"/>
  <c r="G140"/>
  <c r="G139"/>
  <c r="F142"/>
  <c r="F141"/>
  <c r="F140"/>
  <c r="F139"/>
  <c r="H133"/>
  <c r="H130"/>
  <c r="H129"/>
  <c r="H128"/>
  <c r="H127"/>
  <c r="G130"/>
  <c r="G129"/>
  <c r="G128"/>
  <c r="G127"/>
  <c r="F130"/>
  <c r="F129"/>
  <c r="F128"/>
  <c r="F127"/>
  <c r="H27"/>
  <c r="A20"/>
  <c r="H15"/>
  <c r="F11"/>
  <c r="G11"/>
  <c r="H11"/>
  <c r="F12"/>
  <c r="G12"/>
  <c r="H12"/>
  <c r="F13"/>
  <c r="G13"/>
  <c r="H13"/>
  <c r="G9"/>
  <c r="H9"/>
  <c r="F9"/>
  <c r="E15"/>
  <c r="E21" s="1"/>
  <c r="E27" s="1"/>
  <c r="D15"/>
  <c r="D21" s="1"/>
  <c r="D27" s="1"/>
  <c r="B27"/>
  <c r="D85"/>
  <c r="E74"/>
  <c r="E69"/>
  <c r="D74"/>
  <c r="D69"/>
  <c r="E145"/>
  <c r="D145"/>
  <c r="B145"/>
  <c r="E127"/>
  <c r="E139" s="1"/>
  <c r="D127"/>
  <c r="D139"/>
  <c r="B127"/>
  <c r="B139" s="1"/>
  <c r="D275"/>
  <c r="E205"/>
  <c r="D205"/>
  <c r="B205"/>
  <c r="E194"/>
  <c r="D194"/>
  <c r="B194"/>
  <c r="A204"/>
  <c r="A119"/>
  <c r="A114"/>
  <c r="A33"/>
  <c r="A297"/>
  <c r="A292"/>
  <c r="E265"/>
  <c r="E270" s="1"/>
  <c r="E275" s="1"/>
  <c r="D265"/>
  <c r="A144"/>
  <c r="A138"/>
  <c r="A108"/>
  <c r="A78"/>
  <c r="A67"/>
  <c r="B287"/>
  <c r="B298"/>
  <c r="A269"/>
  <c r="A264"/>
  <c r="A263"/>
  <c r="E242"/>
  <c r="E247" s="1"/>
  <c r="E252" s="1"/>
  <c r="D242"/>
  <c r="D247"/>
  <c r="D252"/>
  <c r="A192" i="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D177" i="3"/>
  <c r="D182"/>
</calcChain>
</file>

<file path=xl/sharedStrings.xml><?xml version="1.0" encoding="utf-8"?>
<sst xmlns="http://schemas.openxmlformats.org/spreadsheetml/2006/main" count="1626" uniqueCount="521">
  <si>
    <t>№</t>
  </si>
  <si>
    <t>х</t>
  </si>
  <si>
    <t>-</t>
  </si>
  <si>
    <t>24.12.2013;               31.12.2013</t>
  </si>
  <si>
    <t>2. Прочие потребители</t>
  </si>
  <si>
    <t>2</t>
  </si>
  <si>
    <t>3</t>
  </si>
  <si>
    <t>4</t>
  </si>
  <si>
    <t xml:space="preserve"> 27.12.2013</t>
  </si>
  <si>
    <t xml:space="preserve"> 11.07.2013</t>
  </si>
  <si>
    <t xml:space="preserve"> 31.12.2013</t>
  </si>
  <si>
    <t>20.12.2013 № 55/2</t>
  </si>
  <si>
    <t>20.12.2013 № 55/3</t>
  </si>
  <si>
    <t>20.12.2013 № 55/4</t>
  </si>
  <si>
    <t>Belgorod News №265 (3590)</t>
  </si>
  <si>
    <t>OJSC "Lebedinsky GOK"</t>
  </si>
  <si>
    <t>№, date of tariff decision</t>
  </si>
  <si>
    <t>Date of publication</t>
  </si>
  <si>
    <t>Source of publication</t>
  </si>
  <si>
    <t>Company name</t>
  </si>
  <si>
    <t>Two-rate tariff</t>
  </si>
  <si>
    <t>Flat-rate tariff</t>
  </si>
  <si>
    <t xml:space="preserve">Rate for maintenance </t>
  </si>
  <si>
    <t>Rate for payment of power losses</t>
  </si>
  <si>
    <t>RUB/MWh per month</t>
  </si>
  <si>
    <t>RUB/MWh</t>
  </si>
  <si>
    <t>Transmission-individual</t>
  </si>
  <si>
    <t>IDGC of Centre</t>
  </si>
  <si>
    <t>Belgorodenergo</t>
  </si>
  <si>
    <t xml:space="preserve">Belgorodenergo </t>
  </si>
  <si>
    <t>LLC "Substation Belgorod"</t>
  </si>
  <si>
    <t>CJSC "Energomash (Belgorod)"</t>
  </si>
  <si>
    <t>CJSC "Gormash"</t>
  </si>
  <si>
    <t>OJSC "Belgorod cement"</t>
  </si>
  <si>
    <t>OJSC "KMAproektzhilstroj"</t>
  </si>
  <si>
    <t>OJSC "KMAore"</t>
  </si>
  <si>
    <t>CJSC "Spetsenergo"</t>
  </si>
  <si>
    <t>OJSC "SGOK"</t>
  </si>
  <si>
    <t>LLC "Biokhim-service"</t>
  </si>
  <si>
    <t>LLC "Polysynthesis"</t>
  </si>
  <si>
    <t>CJSC "Building centre"</t>
  </si>
  <si>
    <t>LLC "DREP DSK"</t>
  </si>
  <si>
    <t>CJSC "Falcon - automatic telephone exchange"</t>
  </si>
  <si>
    <t>OJSC "Belgorod factory"Rhythm"</t>
  </si>
  <si>
    <t>OJSC "OEMK"</t>
  </si>
  <si>
    <t>OJSC "OZMM"</t>
  </si>
  <si>
    <t>CJSC "Verofarm"</t>
  </si>
  <si>
    <t>OJSC "SOMZ"</t>
  </si>
  <si>
    <t>PE Piskarev</t>
  </si>
  <si>
    <t>OJSC "Belgorod Electrical and Mechanical factory"</t>
  </si>
  <si>
    <t>OJSC "Belgorodasbestotcement"</t>
  </si>
  <si>
    <t>LLC "Gazpromenergo"</t>
  </si>
  <si>
    <t>LLC "Cascade-power network"</t>
  </si>
  <si>
    <t>LLC "OSMB and T"</t>
  </si>
  <si>
    <t>OGU "Belgorod regional resource innovative centre"</t>
  </si>
  <si>
    <t>OJSC "Oboronenergo"</t>
  </si>
  <si>
    <t xml:space="preserve"> 20.12.2013 </t>
  </si>
  <si>
    <t>Bryanskenergo</t>
  </si>
  <si>
    <t xml:space="preserve">Bryanskenergo </t>
  </si>
  <si>
    <t>The Moscow Office on power supply of Transenergo of branch OJSC "Russian Railway"</t>
  </si>
  <si>
    <t>OJSC "Zhilkomhoz"</t>
  </si>
  <si>
    <t>LLC "TransneftElektrosetServis"</t>
  </si>
  <si>
    <t>LLC "Kominform"</t>
  </si>
  <si>
    <t>OJSC "Bryansk chemical plant of the 50 anniversary of the USSR"</t>
  </si>
  <si>
    <t>CJSC "АPE-Phosfates"</t>
  </si>
  <si>
    <t>LLC "Metallservis-Bryansk"</t>
  </si>
  <si>
    <t>CJSC "Bryansk Automobile Factory"</t>
  </si>
  <si>
    <t>OJSC "Bryansk Electromechanical Factory"</t>
  </si>
  <si>
    <t>OJSC "85 repair factory"</t>
  </si>
  <si>
    <t>LLC "Line"</t>
  </si>
  <si>
    <t>OJSC " Bryansk meat-packing plant"</t>
  </si>
  <si>
    <t>OJSC "Electrodevice"</t>
  </si>
  <si>
    <t>CJSC "Group Silicon of El"</t>
  </si>
  <si>
    <t>LLC "GPP" Lithium"</t>
  </si>
  <si>
    <t>MUP "Habitation"</t>
  </si>
  <si>
    <t>LLC "Djatkovsky crystal Factory"</t>
  </si>
  <si>
    <t xml:space="preserve">LLC "Bryansk factory of building constructions" </t>
  </si>
  <si>
    <t>OJSC "Bryansk Factory Metallokonstruktsy and Industrial equipment"</t>
  </si>
  <si>
    <t>LLC "UK" BZKPD"</t>
  </si>
  <si>
    <t>OJSC "Karachevsky factory" Electrodetail"</t>
  </si>
  <si>
    <t>OJSC " Bryansk arsenal"</t>
  </si>
  <si>
    <t>LLC "Commonwealth"</t>
  </si>
  <si>
    <t>CJSC "Leshozmash-Bryansk"</t>
  </si>
  <si>
    <t xml:space="preserve">OJSC "Oboronenergo" </t>
  </si>
  <si>
    <t>LLC "Stankostroitel"</t>
  </si>
  <si>
    <t>CJSC "Bryansk factory of silicate bricks"</t>
  </si>
  <si>
    <t>LLC "Bryansk worsted industrial complex"</t>
  </si>
  <si>
    <t>CJSC "Metaglue"</t>
  </si>
  <si>
    <t>MKP "Karachevsky Mashinno-technological Station"</t>
  </si>
  <si>
    <t xml:space="preserve">FGBOU VPO "Bryansk GSHA" </t>
  </si>
  <si>
    <t>OJSC "Seletsky DOK"</t>
  </si>
  <si>
    <t>OJSC "192 Central factory of railway technics"</t>
  </si>
  <si>
    <t>LLC "Oil company" Russneft-Bryansk"</t>
  </si>
  <si>
    <t>CJSC "ON" Irmash"</t>
  </si>
  <si>
    <t>LLC "Bryanskoblelektro"</t>
  </si>
  <si>
    <t>LLC "Modern city"</t>
  </si>
  <si>
    <t>GUP "Bryanskcommunenergo"</t>
  </si>
  <si>
    <t>LLC "Electroset - Service"</t>
  </si>
  <si>
    <t>OJSC "Glinishchevoremtekhpred"</t>
  </si>
  <si>
    <t>LLC "Stroylesservice"</t>
  </si>
  <si>
    <t>OJSC "Stroyservice"</t>
  </si>
  <si>
    <t>Information-analytical bulletin "Official Bryanschina"</t>
  </si>
  <si>
    <t>Voronezhenergo</t>
  </si>
  <si>
    <t>MUE "Voronezh gorelektroset"</t>
  </si>
  <si>
    <t>"Voronezh courier" №147</t>
  </si>
  <si>
    <t>Voronezh courier №147</t>
  </si>
  <si>
    <t>MUE "Bobrovsky gorelektroset"</t>
  </si>
  <si>
    <t>MUE "Borisoglebsky gorelektroset"</t>
  </si>
  <si>
    <t>MUE " Buturlinovsky city electric system"</t>
  </si>
  <si>
    <t>MUE city district – city of Novovoronezh "City electric networks"</t>
  </si>
  <si>
    <t>MUE " Liskinsky city electric network"</t>
  </si>
  <si>
    <t>MUE "Ostrogozhsky gorelektroset"</t>
  </si>
  <si>
    <t>MUE Rossoshi "City electric networks" Rossosh</t>
  </si>
  <si>
    <t xml:space="preserve">Branch OJSC "Concern Rosenergoatom" " New Voronezh nuclear station" </t>
  </si>
  <si>
    <t>LLC "Energy" of Kantemirovka</t>
  </si>
  <si>
    <t>LLC "Electrotechnical management"</t>
  </si>
  <si>
    <t>OJSC "Voronezh ore management"</t>
  </si>
  <si>
    <t>CJSC " Voronezh condenser factory"</t>
  </si>
  <si>
    <t>OJSC "Voronezhsintezkauchuk"</t>
  </si>
  <si>
    <t>162 industrial complex of ferro-concrete products – branch OJSC "Central administrative board of arrangement of armies"</t>
  </si>
  <si>
    <t>OJSC "Autogenous cutting"</t>
  </si>
  <si>
    <t>CJSC "Voronezhstalmost"</t>
  </si>
  <si>
    <t>OJSC "VEKS" Voronezh dredge</t>
  </si>
  <si>
    <t>OJSC "Evdakovsky oil and fat industrial complex"</t>
  </si>
  <si>
    <t>OJSC "Mineral fertilizers"</t>
  </si>
  <si>
    <t>LLC "Grid company "Tenistiy"</t>
  </si>
  <si>
    <t>LLC "Power kind"</t>
  </si>
  <si>
    <t>OJSC "Airline" Voronezhavia"</t>
  </si>
  <si>
    <t>Voronezh diesel locomotive factory-branch OJSC "Zheldorremmash"</t>
  </si>
  <si>
    <t>CJSC " Voronezh assembly management-2"</t>
  </si>
  <si>
    <t>OJSC "VZPP - Assembly"</t>
  </si>
  <si>
    <t>LLC "Energy grid company"</t>
  </si>
  <si>
    <t>Consumer society "Optorg"</t>
  </si>
  <si>
    <t>LLC Industrial – business concern "Obuvbyt"</t>
  </si>
  <si>
    <t>LLC "HeatEnergoGas"</t>
  </si>
  <si>
    <t>CJSC "Liskimontazhconstruktion"</t>
  </si>
  <si>
    <t>LLC "UGMK Rudgormash-Voronezh"</t>
  </si>
  <si>
    <t>OJSC "Electrosignal"</t>
  </si>
  <si>
    <t>OJSC "Chemical automatics design office"</t>
  </si>
  <si>
    <t>OJSC "Latnensky elevator"</t>
  </si>
  <si>
    <t>LLC "ELGRON"</t>
  </si>
  <si>
    <t>LLC PKF "Equator"</t>
  </si>
  <si>
    <t>PE Kaverzin R.A.</t>
  </si>
  <si>
    <t>LLC "Don Power Grid Company"</t>
  </si>
  <si>
    <t>LLC "CLAIM" of Finist"</t>
  </si>
  <si>
    <t>LLC "Energetik-1"</t>
  </si>
  <si>
    <t xml:space="preserve">LLC "PowerPro" </t>
  </si>
  <si>
    <t xml:space="preserve">OJSC "Oboronenergo" (South-West branch)  </t>
  </si>
  <si>
    <t>Voronezh car-repair factory – branch OJSC "Vagonremmash"</t>
  </si>
  <si>
    <t>LLC " Active - Management"</t>
  </si>
  <si>
    <t>OJSC "Crystal"</t>
  </si>
  <si>
    <t>South – East Power Supply Office – JC Transenergo – branch OJSC "Russian Railway"</t>
  </si>
  <si>
    <t>Branch OJSC "Concern Rosenergoatom" "Office of under construction Voronezh nuclear station of heat supply"</t>
  </si>
  <si>
    <r>
      <t xml:space="preserve">LLC "Group of companies </t>
    </r>
    <r>
      <rPr>
        <sz val="11"/>
        <rFont val="Times New Roman"/>
        <family val="1"/>
        <charset val="204"/>
      </rPr>
      <t>ENERGOTECHSERVICE</t>
    </r>
    <r>
      <rPr>
        <sz val="10"/>
        <rFont val="Times New Roman"/>
        <family val="1"/>
        <charset val="204"/>
      </rPr>
      <t>"</t>
    </r>
  </si>
  <si>
    <t>LLC "Gazprom energo"</t>
  </si>
  <si>
    <t>LLC "Vyaznovatka"</t>
  </si>
  <si>
    <t>CJSC "Concern" Rosogneupory"</t>
  </si>
  <si>
    <t>OJSC Dairy industrial complex "Voronezh"</t>
  </si>
  <si>
    <t>LLC factory "Insite"</t>
  </si>
  <si>
    <t>CJSC "Voronezh-terminal"</t>
  </si>
  <si>
    <t>LLC "Factory art forging"</t>
  </si>
  <si>
    <t>LLC "Talar"</t>
  </si>
  <si>
    <t>CJSC "Monolith"</t>
  </si>
  <si>
    <t>LLC FPK "Space-oil-gas"</t>
  </si>
  <si>
    <t>LLC "Production association" Voronezh tooling and machining plant"</t>
  </si>
  <si>
    <t>OJSC "Videophone"</t>
  </si>
  <si>
    <t>OJSC "VASO"</t>
  </si>
  <si>
    <t>LLC "Atomenergosparepart"</t>
  </si>
  <si>
    <t>CJSC firm "SMUR"</t>
  </si>
  <si>
    <t>LLC "CAN"</t>
  </si>
  <si>
    <t>OJSC "Borhimmash"</t>
  </si>
  <si>
    <t>LLC "Refrigerator № 4"</t>
  </si>
  <si>
    <t>CJSC "AgroVoronezhinvest"</t>
  </si>
  <si>
    <t>LLC "ROSINKOM"</t>
  </si>
  <si>
    <t xml:space="preserve">OJSC "Voronezh experimental animal feed mill factory" </t>
  </si>
  <si>
    <t>CJSC "Scale"</t>
  </si>
  <si>
    <t>MKP MTK of "Voronezhpassazhirtrans"</t>
  </si>
  <si>
    <t xml:space="preserve">CJSC "Voronezh tyre factory"  </t>
  </si>
  <si>
    <t>LLC "Centre on repair of metering devices"</t>
  </si>
  <si>
    <t>Kostromaenergo</t>
  </si>
  <si>
    <t>31.05.2012 № 23/5 (in the edition of 20.12.2013 № 55/1)</t>
  </si>
  <si>
    <t xml:space="preserve"> 31.05.2012 № 23/5 (in the edition of 20.12.2013 № 55/1)</t>
  </si>
  <si>
    <t>"SP-regulatory documents"
№1-2(469)</t>
  </si>
  <si>
    <t>OJSC "Krasnoselsky Juvelirprom"</t>
  </si>
  <si>
    <t>OJSC "Kostromaship mechanical factory"</t>
  </si>
  <si>
    <t>LLC "Kostroma factory of automatic transfer lines"</t>
  </si>
  <si>
    <t>Branch - "Verhnevolzhsky" OJSC "Oboronenergo" in borders of the Kostroma region</t>
  </si>
  <si>
    <t>OJSC "Heater factory" (taking into account transit)</t>
  </si>
  <si>
    <t>OJSC "Electromechanical factory "Pegasus"</t>
  </si>
  <si>
    <t>CJSC "Kostroma starch-treacle factory"</t>
  </si>
  <si>
    <t>LLC "Stromneftemash"</t>
  </si>
  <si>
    <t>LLC "Tekmash"</t>
  </si>
  <si>
    <t>LLC "Remstroyplast"</t>
  </si>
  <si>
    <t>Branch OJSC "Russian railways" Transenergo Northern Office on power supply in borders of the Kostroma region</t>
  </si>
  <si>
    <t>Branch OJSC "Russian railways" Transenergo Northern Office on power supply in borders of the Kostroma region (concerning transit)</t>
  </si>
  <si>
    <t>LLC "Power service"</t>
  </si>
  <si>
    <t>LLC "KFK Energo"</t>
  </si>
  <si>
    <t>"SP-Regulatory documents" №31(446)</t>
  </si>
  <si>
    <t>Kurskenenergo</t>
  </si>
  <si>
    <t xml:space="preserve">Kurskenenergo </t>
  </si>
  <si>
    <t>Newspaper "Kursk" №52, http://tarifkursk.ru</t>
  </si>
  <si>
    <t>LLC "Power-service"</t>
  </si>
  <si>
    <t>FBU IK-3 UFSIN Russia in the Kursk region</t>
  </si>
  <si>
    <t>OJSC "Kursk factory of technical fabrics"</t>
  </si>
  <si>
    <t>CJSC "Kurskrezinotehnika"</t>
  </si>
  <si>
    <t>LLC "Industrial assembly"</t>
  </si>
  <si>
    <t>LLC "Kurskhimvolokno"</t>
  </si>
  <si>
    <t>LLC "Gazprom Energo"</t>
  </si>
  <si>
    <t>LLC " Zheleznogorsk Grid Company"</t>
  </si>
  <si>
    <t>OJSC "Russian railways" in borders of the Southeast railway in the Kursk region</t>
  </si>
  <si>
    <t>Moscow railways – a branch of OJSC "Russian railways" in borders of the Kursk region</t>
  </si>
  <si>
    <t>LLC " Kursk Energy Property Complex"</t>
  </si>
  <si>
    <t>LLC "Power supply"</t>
  </si>
  <si>
    <t>MUE "Gorelektroseti" of Municipal formation "City of Zheleznogorsk"</t>
  </si>
  <si>
    <t>LLC "KMA-Elektro"</t>
  </si>
  <si>
    <t xml:space="preserve">OJSC "Kursk electric networks" </t>
  </si>
  <si>
    <t>Lipetskenergo</t>
  </si>
  <si>
    <t xml:space="preserve">Lipetsk Newspaper, № 56/4 </t>
  </si>
  <si>
    <t>Lipetsk Newspaper, № 56/4</t>
  </si>
  <si>
    <t>Lipetsk Newspaper,         № 249</t>
  </si>
  <si>
    <t>OJSC "Lipetsk city power company"</t>
  </si>
  <si>
    <t>OJSC "NLMK"</t>
  </si>
  <si>
    <t>OJSC "Dolomit"</t>
  </si>
  <si>
    <t>LLC "Technoengineering"</t>
  </si>
  <si>
    <t>OJSC "Factory reinforced-concrete"</t>
  </si>
  <si>
    <t>OJSC "Energy"</t>
  </si>
  <si>
    <t>CJSC "Lipetsk silicate factory"</t>
  </si>
  <si>
    <t>LLC "TransneftElectrosetService" in territory of the Lipetsk region</t>
  </si>
  <si>
    <t>CJSC "Lipetsktsement"</t>
  </si>
  <si>
    <t>OJSC "Lipetsk commercial and industrial association"</t>
  </si>
  <si>
    <t>OJSC "Gryazinsky pischekombinat"</t>
  </si>
  <si>
    <t>OJSC "Stagdok"</t>
  </si>
  <si>
    <t>CJSC "PEAK" ELTA"</t>
  </si>
  <si>
    <t>LLC "Lemaz"</t>
  </si>
  <si>
    <t>LLC "Longrichbusiness"</t>
  </si>
  <si>
    <t>OJSC "OEZ PPT "Lipetsk"</t>
  </si>
  <si>
    <t>LLC "Solar power"</t>
  </si>
  <si>
    <t>OJSC "ZSM "Yelets"</t>
  </si>
  <si>
    <t>OJSC "Oboronenergo" in territory of the Lipetsk region</t>
  </si>
  <si>
    <t>LLC "RSK-Chaplygin"</t>
  </si>
  <si>
    <t>OJSC "LMZ "Free falcon"</t>
  </si>
  <si>
    <t>Orelenergo</t>
  </si>
  <si>
    <t xml:space="preserve">Orelenergo </t>
  </si>
  <si>
    <t>Portal of the Orel region</t>
  </si>
  <si>
    <t>OJSC "Oreloblenergo" - IDGC of Centre (IDGC of Centre - Orelenergo division)</t>
  </si>
  <si>
    <t>LLC "OPK-Energo" - IDGC of Centre (IDGC of Centre - Orelenergo division)</t>
  </si>
  <si>
    <t>OJSC "Russian Railway" (branch OJSC "Russian Railway" - Transenergo (the Moscow management on power supply) - IDGC of Centre (IDGC of Centre - Orelenergo division)</t>
  </si>
  <si>
    <t>LLC "Gazprom energo" (the Central branch LLC "Gazprom energo") - IDGC of Centre (IDGC of Centre - Orelenergo division)</t>
  </si>
  <si>
    <t>LLC "OMZ" - IDGC of Centre (IDGC of Centre - Orelenergo division)</t>
  </si>
  <si>
    <t>LLC "StroyPark" - IDGC of Centre (IDGC of Centre - Orelenergo division)</t>
  </si>
  <si>
    <t>CJSC "AUTOBASIS" - IDGC of Centre (IDGC of Centre - Orelenergo division)</t>
  </si>
  <si>
    <t>OJSC "Orel metals" - IDGC of Centre (IDGC of Centre - Orelenergo division)</t>
  </si>
  <si>
    <t>LLC "Promenergoset" - IDGC of Centre (IDGC of Centre - Orelenergo division)</t>
  </si>
  <si>
    <t>OJSC "Proton" - IDGC of Centre (IDGC of Centre - Orelenergo division)</t>
  </si>
  <si>
    <t>LLC "TES" - IDGC of Centre (IDGC of Centre - Orelenergo division)</t>
  </si>
  <si>
    <t>OJSC "MLZ" - IDGC of Centre (IDGC of Centre - Orelenergo division)</t>
  </si>
  <si>
    <t>OJSC "KM Group" - IDGC of Centre (IDGC of Centre - Orelenergo division)</t>
  </si>
  <si>
    <t>LLC "Energetik" - IDGC of Centre (IDGC of Centre - Orelenergo division)</t>
  </si>
  <si>
    <t>PE Abramov M.I. - IDGC of Centre (IDGC of Centre - Orelenergo division)</t>
  </si>
  <si>
    <t>OJSC "Oboronenergo" branch "Southwest" - IDGC of Centre (IDGC of Centre - Orelenergo division)</t>
  </si>
  <si>
    <t>PE Shamardin V.D. - IDGC of Centre (IDGC of Centre - Orelenergo division)</t>
  </si>
  <si>
    <t>LLC "Power service" - IDGC of Centre (IDGC of Centre - Orelenergo division)</t>
  </si>
  <si>
    <t>Smolenskenergo</t>
  </si>
  <si>
    <t xml:space="preserve">Smolenskenergo </t>
  </si>
  <si>
    <t xml:space="preserve">Bulletin of the Smolensk regional Duma and Administration of the Smolensk region № 12 </t>
  </si>
  <si>
    <t>Bulletin of the Smolensk regional Duma and Administration of the Smolensk region № 12</t>
  </si>
  <si>
    <t>FKU IK-6 UFSIN of Russia in the Smolensk region Roslavl</t>
  </si>
  <si>
    <t>OJSC "Vjazemsky GOK" Vyazma</t>
  </si>
  <si>
    <t xml:space="preserve">LLC "Poultry farm of Smetanino" </t>
  </si>
  <si>
    <t>OJSC "Iceberg" Smolensk</t>
  </si>
  <si>
    <t>OJSC VNPO "Resource" Vyazma</t>
  </si>
  <si>
    <t>CJSC "Roslavlsky automodular factory AMO ZIL" Roslavl</t>
  </si>
  <si>
    <t>Moscow management JC Transenergo on power supply - a branch of OJSC "Russian Railways" (in territory of the Smolensk region)</t>
  </si>
  <si>
    <t>State unitary enterprise "Casting-rolling factory" Moscow (Industrial complex of Yartsevo"</t>
  </si>
  <si>
    <t>OJSC "Vjazemsky house-building industrial complex" Vyazma</t>
  </si>
  <si>
    <t>OJSC "Pyramid" Smolensk</t>
  </si>
  <si>
    <t>OJSC "Safonovsky factory "Hydrometpribor" in the city of Safonovo</t>
  </si>
  <si>
    <t>OJSC "Safonovsky electromachine-building factory" in the city of Safonovo</t>
  </si>
  <si>
    <t xml:space="preserve">OJSC "Smolensk aviation factory" Smolensk </t>
  </si>
  <si>
    <t>OJSC "Smolensk DOK" Smolensk</t>
  </si>
  <si>
    <t>OJSC "Smolensk factory Centaurus" Smolensk</t>
  </si>
  <si>
    <t>OJSC "Oboronenergo" (in territory of the Smolensk region)</t>
  </si>
  <si>
    <t>OJSC "Torgmash" Smolensk</t>
  </si>
  <si>
    <t>OJSC "ElS" of Desnogorsk</t>
  </si>
  <si>
    <t>OJSC "NPP "Tehnopribor" Smolensk</t>
  </si>
  <si>
    <t>LLC "Gazpromenergo" Moscow (in territory of the Smolensk region)</t>
  </si>
  <si>
    <t>LLC "Gnezdovo" Smolensk</t>
  </si>
  <si>
    <t>LLC "Promkonservy" of Rudnya</t>
  </si>
  <si>
    <t>LLC AN "Guarantor-habitation" Smolensk</t>
  </si>
  <si>
    <t>LLC "Yartsevsky cotton industrial complex" Yartsevo</t>
  </si>
  <si>
    <t>LLC "Electro-Grid Company CITY" (in territory of the Smolensk region)</t>
  </si>
  <si>
    <t>LLC "Koltek-spetsreagenty", Safonovo</t>
  </si>
  <si>
    <t>CJSC "Assembler" Smolensk</t>
  </si>
  <si>
    <t>CJSC "ETS" Smolensk</t>
  </si>
  <si>
    <t xml:space="preserve">CJSC "Dorogobuzhhimstroy" Smolensk </t>
  </si>
  <si>
    <t>PE Sorin V.Y., Smolensk</t>
  </si>
  <si>
    <t>OJSC "BetElTrans" - a branch of Vyazemsky factory ZHBSH, Vyazma</t>
  </si>
  <si>
    <t>OJSC "Mercury" Smolensk</t>
  </si>
  <si>
    <t>OJSC "Smolensk ATP" Smolensk</t>
  </si>
  <si>
    <t>OJSC "Rossmolbacaleya" Smolensk*</t>
  </si>
  <si>
    <t>LLC "ARES" Smolensk*</t>
  </si>
  <si>
    <t>PE Boyarinov V.V. Smolensk*</t>
  </si>
  <si>
    <t>LLC "Stimulus" s. Vyazma-Bryansk*</t>
  </si>
  <si>
    <t>PE Petrochenkov D.M. Smolensk*</t>
  </si>
  <si>
    <t>LLC "Progress plus" Roslavl*</t>
  </si>
  <si>
    <t>MUE "Kutuzovsky" Elnya*</t>
  </si>
  <si>
    <t>LLC "Elektrosetremont" Smolensk*</t>
  </si>
  <si>
    <t>CJSC trust "Smolenskagropromstroy" Smolensk*</t>
  </si>
  <si>
    <r>
      <t>CJSC "Montazhzagotovka" Smolensk*</t>
    </r>
    <r>
      <rPr>
        <sz val="10"/>
        <color indexed="10"/>
        <rFont val="Times New Roman"/>
        <family val="1"/>
        <charset val="204"/>
      </rPr>
      <t xml:space="preserve"> </t>
    </r>
  </si>
  <si>
    <t>PE Svidler V.M. Smolensk*</t>
  </si>
  <si>
    <t>LLC " Building of Amipress"</t>
  </si>
  <si>
    <t>LLC "Firm Smolenskgazsvjazavtomatika", Smolensk</t>
  </si>
  <si>
    <t>LLC "TSO №3", Smolensk*</t>
  </si>
  <si>
    <t>LLC "Electrogrid-Safonovo", Safonovo</t>
  </si>
  <si>
    <t>OGUEP "Smolenskoblcommunenergo", Smolensk</t>
  </si>
  <si>
    <t>Tambovenergo</t>
  </si>
  <si>
    <t xml:space="preserve">Tambovenergo </t>
  </si>
  <si>
    <t>Newspaper "Tambov life" (special issue №105 (1445)</t>
  </si>
  <si>
    <t>Newspaper "Tambov life" (special issue №103 (1443)</t>
  </si>
  <si>
    <t>Newspaper "Tambov life" (special issue №105 (1445);                  №107 (1447)</t>
  </si>
  <si>
    <t>LLC "Gazpromenergo" in territory of the Tambov region</t>
  </si>
  <si>
    <t>OJSC "TZ "Revtrud"</t>
  </si>
  <si>
    <t>OJSC "Russian Railways" in borders of activity of Southeast management-structural division of Transenergo-branch OJSC "Russian Railways"</t>
  </si>
  <si>
    <t>MUE "Michurinsk city electric systems"</t>
  </si>
  <si>
    <t>OJSC "Russian Railways" in borders of activity of Kuybyshevky management on power supply-structural division of Tranenergo-branch OJSC "Russian Railways"</t>
  </si>
  <si>
    <t>Branch "Southwest" OJSC "Oboronenergo"</t>
  </si>
  <si>
    <t>OJSC " Tambov communal systems"</t>
  </si>
  <si>
    <t>LLC "TransneftElectrosetService"</t>
  </si>
  <si>
    <t>OJSC "Tambov grid company"</t>
  </si>
  <si>
    <t>LLC "Kotovskaya Electro Delivery Company"</t>
  </si>
  <si>
    <t>Tverenergo</t>
  </si>
  <si>
    <t xml:space="preserve">Special supplement № 51  to Newspaper "Tver life" № 237 (27.769) </t>
  </si>
  <si>
    <t xml:space="preserve">Special supplement № 51to Newspaper "Tver life" № 237 (27.769) </t>
  </si>
  <si>
    <t xml:space="preserve">Special supplement № 51 to Newspaper "Tver life" № 237 (27.769) </t>
  </si>
  <si>
    <t xml:space="preserve">Special supplement № 51                                              to Newspaper "Tver life" № 237 (27.769) </t>
  </si>
  <si>
    <t>"October railways" - branch OJSC "Russian railways"</t>
  </si>
  <si>
    <t>MUE "Tvergorelectro"</t>
  </si>
  <si>
    <t>LLC "Tveroblelectro"</t>
  </si>
  <si>
    <t>LLC " Electrical installation company"</t>
  </si>
  <si>
    <t>OJSC "Bologovsky reinforcing plant"</t>
  </si>
  <si>
    <t>FGUP "VNIISV"</t>
  </si>
  <si>
    <t>LLC "Horizon"</t>
  </si>
  <si>
    <t>LLC "Tver glass factory"</t>
  </si>
  <si>
    <t>OJSC "SIBUR-PETF"</t>
  </si>
  <si>
    <t>LLC "Gazpromenergo" Central branch</t>
  </si>
  <si>
    <t>LLC "TverZhilDorStroy"</t>
  </si>
  <si>
    <t>LLC "GridEnergo"</t>
  </si>
  <si>
    <t>OJSC "Redkinsky experimental plant"</t>
  </si>
  <si>
    <t>Branch "Verhnevolzhsky" OJSC "Oboronenergo"</t>
  </si>
  <si>
    <t>CJSC "Power networks"</t>
  </si>
  <si>
    <t>LLC "EnergoGrid"</t>
  </si>
  <si>
    <t>LLC "United Energo Grid Company"</t>
  </si>
  <si>
    <t>Yarenergo</t>
  </si>
  <si>
    <t>Document - region</t>
  </si>
  <si>
    <t>Document - region,    № 106</t>
  </si>
  <si>
    <t xml:space="preserve">OJSC " Yaroslavl city electric system" </t>
  </si>
  <si>
    <t xml:space="preserve">CJSC "Yaroslavl-Rezinotehnika" </t>
  </si>
  <si>
    <t>PE Shutov A.V.</t>
  </si>
  <si>
    <t xml:space="preserve">OJSC "Yaroslavl factory of diesel equipment" shop 388 </t>
  </si>
  <si>
    <t xml:space="preserve">LLC "EKO" </t>
  </si>
  <si>
    <t xml:space="preserve">OJSC "Yaroslavl tyre factory" </t>
  </si>
  <si>
    <t>OJSC "Yaroslavl ship-building factory"</t>
  </si>
  <si>
    <t xml:space="preserve">OJSC "Northern industrial-delivery enterprise "Oboronpromcomplex" </t>
  </si>
  <si>
    <t xml:space="preserve">LLC "Regionelektroset" </t>
  </si>
  <si>
    <t>LLC "Spetstorg Plus"</t>
  </si>
  <si>
    <t>Branch OJSC "Mostostroyindustry" - "Factory  № 50"</t>
  </si>
  <si>
    <t xml:space="preserve">LLC "Cascade-power network" </t>
  </si>
  <si>
    <t xml:space="preserve">CJSC "Ferro-concrete" </t>
  </si>
  <si>
    <t>Northern management on power supply – structural division Transenergo of branch OJSC "Russian railways"</t>
  </si>
  <si>
    <t xml:space="preserve">Northern branch LLC "Gazprom energo"  </t>
  </si>
  <si>
    <t xml:space="preserve">OJSC "Yaroslavl electric grid company" </t>
  </si>
  <si>
    <t>OJSC " Rybinsk city electric system"</t>
  </si>
  <si>
    <t xml:space="preserve">LLC "Rybinsk-spectrum" </t>
  </si>
  <si>
    <t>LLC "Energy"</t>
  </si>
  <si>
    <t xml:space="preserve">OJSC "Rybinsk factory of instrument making" </t>
  </si>
  <si>
    <t xml:space="preserve">OJSC "Voentelekom" </t>
  </si>
  <si>
    <t>MUE "Gorelektroset"</t>
  </si>
  <si>
    <t>OJSC "Filters industrial gas treatment" (OJSC "FINGO")</t>
  </si>
  <si>
    <t xml:space="preserve">OJSC "Yaroslavl oil refining factory of D.I.Mendeleeva" (Rusoil) </t>
  </si>
  <si>
    <t xml:space="preserve">LLC "Resource" </t>
  </si>
  <si>
    <t xml:space="preserve">OJSC "Resource" </t>
  </si>
  <si>
    <t xml:space="preserve">Branch FGUP "Housing-and-municipal management of the Russian Academy of Sciences" in settlement Borok </t>
  </si>
  <si>
    <t>Nekrasovsky housing and communal services MT</t>
  </si>
  <si>
    <t xml:space="preserve">Burmakinsky housing and communal services MT </t>
  </si>
  <si>
    <t xml:space="preserve">Federal budgetary establishment " Corrective colony №3 of federal service of execution of punishments in the Yaroslavl region" </t>
  </si>
  <si>
    <t xml:space="preserve">OJSC "Housing and communal services" of Zavolzhe "" </t>
  </si>
  <si>
    <t>CJSC "United electric grid company - Yaroslavl"</t>
  </si>
  <si>
    <t>LLC "Heat power company - 1"</t>
  </si>
  <si>
    <t>OJSC "Electric systems YAGK"</t>
  </si>
  <si>
    <t>LLC "TransneftElectrogridService"</t>
  </si>
  <si>
    <t>LLC Rybinsk factory of special mechanical engineering "Megaton"</t>
  </si>
  <si>
    <t>OJSC "Yaroslavl radio factory"</t>
  </si>
  <si>
    <t>LLC "Power company"</t>
  </si>
  <si>
    <t>LLC "Flax factory "Tulma"</t>
  </si>
  <si>
    <t>LLC "FIN-Group"</t>
  </si>
  <si>
    <t>LLC "EnergoTverInvest"</t>
  </si>
  <si>
    <t>LLC "Production company "Stis"</t>
  </si>
  <si>
    <t>LLC "Interregional Energy Service Company"</t>
  </si>
  <si>
    <t>LLC "EnergySytemSolutions"</t>
  </si>
  <si>
    <t>LLC "BusinessProductGroup"</t>
  </si>
  <si>
    <t>LLC "Energoresource"</t>
  </si>
  <si>
    <t>Transmission</t>
  </si>
  <si>
    <t>Information on joint operation (comingled) tariffs for electric power transmission services</t>
  </si>
  <si>
    <t xml:space="preserve">N, date of tariff decision/group of consumers </t>
  </si>
  <si>
    <t>Flat-rate tariff (RUB/MWh)</t>
  </si>
  <si>
    <t>Rate for payment of power losses in grids (RUB/MWh)</t>
  </si>
  <si>
    <t>Rate for power grids maintenance  (RUB/MW per Month)</t>
  </si>
  <si>
    <t>1H 2014</t>
  </si>
  <si>
    <t>1. Other customers</t>
  </si>
  <si>
    <t>2. Other customers</t>
  </si>
  <si>
    <t>Newspaper "Belgorod News" #11 (3602)</t>
  </si>
  <si>
    <t>HV</t>
  </si>
  <si>
    <t>HV1</t>
  </si>
  <si>
    <t xml:space="preserve">HV </t>
  </si>
  <si>
    <t>HV 1</t>
  </si>
  <si>
    <t>MV1</t>
  </si>
  <si>
    <t>MV2</t>
  </si>
  <si>
    <t xml:space="preserve">MV1 </t>
  </si>
  <si>
    <t xml:space="preserve">MV2 </t>
  </si>
  <si>
    <t>LV</t>
  </si>
  <si>
    <t xml:space="preserve">LV </t>
  </si>
  <si>
    <t>2. Residential customers and equal</t>
  </si>
  <si>
    <t xml:space="preserve"> 2.Residential customers and equal</t>
  </si>
  <si>
    <t>1.Residential customers and equal</t>
  </si>
  <si>
    <t>2.  Residential customers and equal</t>
  </si>
  <si>
    <t xml:space="preserve"> 2. Residential customers and equal</t>
  </si>
  <si>
    <t>2H 2014</t>
  </si>
  <si>
    <t>Bryansk teachers' newspaper</t>
  </si>
  <si>
    <t>2.1. Residential customers, except those in item 2.2</t>
  </si>
  <si>
    <t xml:space="preserve">2.2. Residential customers, residing in urban settlements in houses equipped with stationary electric stoves and (or) electric heaters in the established order, and in rural settlements </t>
  </si>
  <si>
    <t>2.2. Residential customers, residing in urban settlements in houses equipped with stationary electric stoves and (or) electric heaters in the established order, and in rural settlements</t>
  </si>
  <si>
    <t>2.1  Other customers, except consumers, whose power receiving  devices are connected to the power grid organization through the power systems of electric energy producers</t>
  </si>
  <si>
    <t xml:space="preserve">2.2 Other customers, whose power receiving  devices are connected to the power grid organization through the power systems of electric energy producers </t>
  </si>
  <si>
    <t>2. Residential customers and equal categories</t>
  </si>
  <si>
    <t>2.1. Urban residential customers</t>
  </si>
  <si>
    <t>2.2. Rural and urban residential customers, residing in urban settlements in houses equipped with stationary electric stoves and (or) electric heaters in the established order</t>
  </si>
  <si>
    <t>LV (urban population, within the social norm)</t>
  </si>
  <si>
    <t>LV (urban population, over the social norm)</t>
  </si>
  <si>
    <t>LV (rural population, within the social norm)</t>
  </si>
  <si>
    <t>LV (rural population, over the social norm)</t>
  </si>
  <si>
    <t>Bulletin of the Smolensk Regional Duma and Administration of the Smolensk region</t>
  </si>
  <si>
    <t xml:space="preserve">2.1 Residential customers, except those specified in items 2.2, 2.3 and the equal customer category </t>
  </si>
  <si>
    <t xml:space="preserve">2.2 Residential customers, residing in urban settlements in houses equipped with stationary electric stoves and (or) electric heaters in the established order </t>
  </si>
  <si>
    <t xml:space="preserve">2.3 Residential customers, residing in rural settlements </t>
  </si>
  <si>
    <t xml:space="preserve">2.3. Residential customers residing in rural settlements </t>
  </si>
  <si>
    <t xml:space="preserve">2. Residential customers and equal </t>
  </si>
  <si>
    <t>№ 45/3-2e of 20.12.2013</t>
  </si>
  <si>
    <t>№ 45/3-1e of 20.12.2013</t>
  </si>
  <si>
    <t>№ 15/2-e of 28.05.2013</t>
  </si>
  <si>
    <t>№ 47/3-e of 30.12.2013</t>
  </si>
  <si>
    <t>№ 13/623 of 27.12.2013</t>
  </si>
  <si>
    <t>№13/148/а of 11.07.2013</t>
  </si>
  <si>
    <t>146 of 20.12.2013</t>
  </si>
  <si>
    <t>147 of 20.12.2013</t>
  </si>
  <si>
    <t>148 of 20.12.2013</t>
  </si>
  <si>
    <t>149 of 20.12.2013</t>
  </si>
  <si>
    <t>150 of 20.12.2013</t>
  </si>
  <si>
    <t>151 of 20.12.2013</t>
  </si>
  <si>
    <t>152 of 20.12.2013</t>
  </si>
  <si>
    <t>153 of 20.12.2013</t>
  </si>
  <si>
    <t>154 of 20.12.2013</t>
  </si>
  <si>
    <t>155 of 20.12.2013</t>
  </si>
  <si>
    <t>156 of 20.12.2013</t>
  </si>
  <si>
    <t>157 of 20.12.2013</t>
  </si>
  <si>
    <t>158 of 20.12.2013</t>
  </si>
  <si>
    <t>159 of 20.12.2013</t>
  </si>
  <si>
    <t>160 of 20.12.2013</t>
  </si>
  <si>
    <t>161 of 20.12.2013</t>
  </si>
  <si>
    <t>№ 249 of 27.12.13</t>
  </si>
  <si>
    <t>№ 2237-t  of 19.12.2013</t>
  </si>
  <si>
    <t>№744 of 20.12.2013</t>
  </si>
  <si>
    <t>244-e of 19.12.2013</t>
  </si>
  <si>
    <t>258-e of 20.12.2013</t>
  </si>
  <si>
    <t>242-e of 19.12.2013</t>
  </si>
  <si>
    <t>256-e of 20.12.2013</t>
  </si>
  <si>
    <t>254-e of 20.12.2013</t>
  </si>
  <si>
    <t>246-e of 19.12.2013</t>
  </si>
  <si>
    <t>252-e of 20.12.2013</t>
  </si>
  <si>
    <t>248-e of 19.12.2013</t>
  </si>
  <si>
    <t>193-e of 16.12.2013</t>
  </si>
  <si>
    <t>250-e of 19.12.2013</t>
  </si>
  <si>
    <t>№ 821-np of 20.12.2013</t>
  </si>
  <si>
    <t>№ 826-np of 20.12.2013</t>
  </si>
  <si>
    <t>№ 827-np of 20.12.2013</t>
  </si>
  <si>
    <t>№ 822-np of 20.12.2013</t>
  </si>
  <si>
    <t>№ 815-np of 20.12.2013</t>
  </si>
  <si>
    <t>№ 825-np of 20.12.2013</t>
  </si>
  <si>
    <t>№ 819-np of 20.12.2013</t>
  </si>
  <si>
    <t>№ 823-np of 20.12.2013</t>
  </si>
  <si>
    <t>№ 817-np of 20.12.2013</t>
  </si>
  <si>
    <t>№ 832-np of 20.12.2013</t>
  </si>
  <si>
    <t>№ 820-np of 20.12.2013</t>
  </si>
  <si>
    <t>№ 818-np of 20.12.2013</t>
  </si>
  <si>
    <t>№ 824-np of 20.12.2013</t>
  </si>
  <si>
    <t>№ 816-np of 20.12.2013</t>
  </si>
  <si>
    <t>№ 833-np of 20.12.2013</t>
  </si>
  <si>
    <t>№ 834-np of 20.12.2013</t>
  </si>
  <si>
    <t>№ 828-np of 20.12.2013</t>
  </si>
  <si>
    <t>№ 831-np of 20.12.2013</t>
  </si>
  <si>
    <t>№ 829-np of 20.12.2013</t>
  </si>
  <si>
    <t>№ 193-ee/p of 30.12.2013</t>
  </si>
  <si>
    <t>№ 190-ee/p of 30.12.2013</t>
  </si>
  <si>
    <t xml:space="preserve"> № 193-ee/p of 30.12.2013</t>
  </si>
  <si>
    <t>№ 15/7 of  19.12.2013</t>
  </si>
  <si>
    <t>№15/19 of 19.12.2013</t>
  </si>
  <si>
    <t>№ 45/5-e of 20.12.2013</t>
  </si>
  <si>
    <t>№55/5  of 20.12.2013</t>
  </si>
  <si>
    <t>№13/624  of 27.12.2013</t>
  </si>
  <si>
    <t>№163  of 20.12.2013</t>
  </si>
  <si>
    <t>№ 56/4 of 20.12.2013</t>
  </si>
  <si>
    <t>№ 2239-t  of 19.12.13</t>
  </si>
  <si>
    <t>№ 745  of 20.12.2013</t>
  </si>
  <si>
    <t>№ 260-e of 20.12.2013 in the edition of Order  295-e of 27.12.2013</t>
  </si>
  <si>
    <t>№ 837 of 20.12.13</t>
  </si>
  <si>
    <t>№195  of 30.12.2013</t>
  </si>
  <si>
    <t>1 Half 2014</t>
  </si>
  <si>
    <t>2 Half 2014</t>
  </si>
  <si>
    <t>Pavlovsk MUEP "Energetik"</t>
  </si>
  <si>
    <t>MUE "Industrial complex of municipal enterprises" MF "city of Desnogorsk"</t>
  </si>
  <si>
    <t>№ 2238-t  of 19.12.2013</t>
  </si>
  <si>
    <t>FGUP YUVZHD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</si>
</sst>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23">
    <font>
      <sz val="10"/>
      <name val="Arial"/>
    </font>
    <font>
      <sz val="10"/>
      <name val="Arial Cyr"/>
      <charset val="204"/>
    </font>
    <font>
      <i/>
      <sz val="7.5"/>
      <name val="Arial Cyr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vertAlign val="sub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" fillId="0" borderId="0"/>
    <xf numFmtId="0" fontId="10" fillId="0" borderId="0"/>
    <xf numFmtId="0" fontId="1" fillId="0" borderId="0"/>
    <xf numFmtId="164" fontId="8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5" applyFont="1" applyBorder="1" applyAlignment="1">
      <alignment horizontal="center" vertical="center" wrapText="1"/>
    </xf>
    <xf numFmtId="0" fontId="1" fillId="0" borderId="0" xfId="3"/>
    <xf numFmtId="0" fontId="3" fillId="0" borderId="0" xfId="0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0" fillId="0" borderId="2" xfId="0" applyBorder="1"/>
    <xf numFmtId="0" fontId="7" fillId="0" borderId="2" xfId="5" applyFont="1" applyBorder="1" applyAlignment="1">
      <alignment horizontal="center" vertical="center"/>
    </xf>
    <xf numFmtId="0" fontId="0" fillId="0" borderId="0" xfId="0" applyBorder="1"/>
    <xf numFmtId="0" fontId="5" fillId="2" borderId="3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3" applyAlignment="1">
      <alignment horizontal="center"/>
    </xf>
    <xf numFmtId="0" fontId="7" fillId="0" borderId="2" xfId="5" applyFont="1" applyBorder="1" applyAlignment="1">
      <alignment horizontal="center" vertical="center" wrapText="1"/>
    </xf>
    <xf numFmtId="4" fontId="7" fillId="0" borderId="2" xfId="5" applyNumberFormat="1" applyFont="1" applyBorder="1" applyAlignment="1">
      <alignment horizontal="center" vertical="center" wrapText="1"/>
    </xf>
    <xf numFmtId="4" fontId="7" fillId="0" borderId="5" xfId="5" applyNumberFormat="1" applyFont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4" fontId="12" fillId="3" borderId="2" xfId="5" applyNumberFormat="1" applyFont="1" applyFill="1" applyBorder="1" applyAlignment="1">
      <alignment horizontal="center" vertical="center" wrapText="1"/>
    </xf>
    <xf numFmtId="4" fontId="12" fillId="3" borderId="5" xfId="5" applyNumberFormat="1" applyFont="1" applyFill="1" applyBorder="1" applyAlignment="1">
      <alignment horizontal="center" vertical="center" wrapText="1"/>
    </xf>
    <xf numFmtId="4" fontId="7" fillId="3" borderId="2" xfId="5" applyNumberFormat="1" applyFont="1" applyFill="1" applyBorder="1" applyAlignment="1">
      <alignment horizontal="center" vertical="center" wrapText="1"/>
    </xf>
    <xf numFmtId="4" fontId="7" fillId="3" borderId="5" xfId="5" applyNumberFormat="1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/>
    </xf>
    <xf numFmtId="165" fontId="7" fillId="3" borderId="2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165" fontId="7" fillId="3" borderId="5" xfId="5" applyNumberFormat="1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/>
    </xf>
    <xf numFmtId="165" fontId="14" fillId="3" borderId="2" xfId="4" applyNumberFormat="1" applyFont="1" applyFill="1" applyBorder="1" applyAlignment="1">
      <alignment horizontal="center" vertical="center" wrapText="1"/>
    </xf>
    <xf numFmtId="4" fontId="14" fillId="3" borderId="2" xfId="4" applyNumberFormat="1" applyFont="1" applyFill="1" applyBorder="1" applyAlignment="1">
      <alignment horizontal="center" vertical="center" wrapText="1"/>
    </xf>
    <xf numFmtId="4" fontId="14" fillId="3" borderId="5" xfId="4" applyNumberFormat="1" applyFont="1" applyFill="1" applyBorder="1" applyAlignment="1" applyProtection="1">
      <alignment horizontal="center" vertical="center" wrapText="1"/>
      <protection locked="0"/>
    </xf>
    <xf numFmtId="4" fontId="11" fillId="3" borderId="5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5" applyFont="1" applyFill="1" applyBorder="1" applyAlignment="1">
      <alignment horizontal="center" vertical="center"/>
    </xf>
    <xf numFmtId="0" fontId="0" fillId="3" borderId="2" xfId="0" applyFill="1" applyBorder="1"/>
    <xf numFmtId="0" fontId="15" fillId="3" borderId="2" xfId="2" applyNumberFormat="1" applyFont="1" applyFill="1" applyBorder="1" applyAlignment="1" applyProtection="1">
      <alignment horizontal="left" vertical="center" wrapText="1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165" fontId="7" fillId="3" borderId="6" xfId="5" applyNumberFormat="1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 wrapText="1"/>
    </xf>
    <xf numFmtId="165" fontId="14" fillId="3" borderId="5" xfId="4" applyNumberFormat="1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/>
    </xf>
    <xf numFmtId="4" fontId="8" fillId="3" borderId="2" xfId="2" applyNumberFormat="1" applyFill="1" applyBorder="1"/>
    <xf numFmtId="0" fontId="7" fillId="3" borderId="2" xfId="5" applyFont="1" applyFill="1" applyBorder="1" applyAlignment="1">
      <alignment horizontal="left" vertical="center" wrapText="1"/>
    </xf>
    <xf numFmtId="0" fontId="7" fillId="3" borderId="6" xfId="5" applyFont="1" applyFill="1" applyBorder="1" applyAlignment="1">
      <alignment horizontal="left" vertical="center" wrapText="1"/>
    </xf>
    <xf numFmtId="4" fontId="7" fillId="3" borderId="6" xfId="5" applyNumberFormat="1" applyFont="1" applyFill="1" applyBorder="1" applyAlignment="1">
      <alignment horizontal="center" vertical="center" wrapText="1"/>
    </xf>
    <xf numFmtId="4" fontId="7" fillId="3" borderId="7" xfId="5" applyNumberFormat="1" applyFont="1" applyFill="1" applyBorder="1" applyAlignment="1">
      <alignment horizontal="center" vertical="center" wrapText="1"/>
    </xf>
    <xf numFmtId="4" fontId="4" fillId="3" borderId="2" xfId="5" applyNumberFormat="1" applyFont="1" applyFill="1" applyBorder="1" applyAlignment="1">
      <alignment horizontal="center" vertical="center" wrapText="1"/>
    </xf>
    <xf numFmtId="4" fontId="12" fillId="3" borderId="2" xfId="6" applyNumberFormat="1" applyFont="1" applyFill="1" applyBorder="1" applyAlignment="1">
      <alignment horizontal="center" vertical="center" wrapText="1"/>
    </xf>
    <xf numFmtId="4" fontId="12" fillId="3" borderId="5" xfId="6" applyNumberFormat="1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2" fillId="3" borderId="6" xfId="5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2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0" xfId="0" applyNumberFormat="1" applyFont="1"/>
    <xf numFmtId="4" fontId="18" fillId="0" borderId="0" xfId="0" applyNumberFormat="1" applyFont="1" applyAlignment="1">
      <alignment horizontal="right"/>
    </xf>
    <xf numFmtId="3" fontId="11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2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/>
    <xf numFmtId="49" fontId="11" fillId="0" borderId="2" xfId="0" applyNumberFormat="1" applyFont="1" applyBorder="1"/>
    <xf numFmtId="0" fontId="16" fillId="0" borderId="2" xfId="0" applyFont="1" applyBorder="1" applyAlignment="1">
      <alignment horizontal="left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/>
    </xf>
    <xf numFmtId="14" fontId="11" fillId="0" borderId="8" xfId="0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" fontId="18" fillId="2" borderId="8" xfId="0" applyNumberFormat="1" applyFont="1" applyFill="1" applyBorder="1" applyAlignment="1">
      <alignment horizontal="center"/>
    </xf>
    <xf numFmtId="4" fontId="18" fillId="2" borderId="9" xfId="0" applyNumberFormat="1" applyFont="1" applyFill="1" applyBorder="1" applyAlignment="1">
      <alignment horizontal="center"/>
    </xf>
    <xf numFmtId="4" fontId="18" fillId="2" borderId="10" xfId="0" applyNumberFormat="1" applyFont="1" applyFill="1" applyBorder="1" applyAlignment="1">
      <alignment horizontal="center"/>
    </xf>
    <xf numFmtId="4" fontId="18" fillId="2" borderId="8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6" xfId="0" applyNumberFormat="1" applyFont="1" applyFill="1" applyBorder="1" applyAlignment="1">
      <alignment horizontal="center" vertical="center" wrapText="1"/>
    </xf>
    <xf numFmtId="4" fontId="18" fillId="2" borderId="26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2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3" borderId="5" xfId="5" applyFont="1" applyFill="1" applyBorder="1" applyAlignment="1">
      <alignment horizontal="center" vertical="center" wrapText="1"/>
    </xf>
    <xf numFmtId="2" fontId="19" fillId="3" borderId="2" xfId="5" applyNumberFormat="1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11" xfId="5" applyFont="1" applyFill="1" applyBorder="1" applyAlignment="1">
      <alignment horizontal="center" vertical="center" wrapText="1"/>
    </xf>
    <xf numFmtId="4" fontId="12" fillId="3" borderId="2" xfId="6" applyNumberFormat="1" applyFont="1" applyFill="1" applyBorder="1" applyAlignment="1">
      <alignment horizontal="center" vertical="center" wrapText="1"/>
    </xf>
    <xf numFmtId="0" fontId="20" fillId="2" borderId="19" xfId="5" applyFont="1" applyFill="1" applyBorder="1" applyAlignment="1">
      <alignment horizontal="center" vertical="center" wrapText="1"/>
    </xf>
    <xf numFmtId="0" fontId="20" fillId="2" borderId="20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4" fontId="7" fillId="3" borderId="5" xfId="5" applyNumberFormat="1" applyFont="1" applyFill="1" applyBorder="1" applyAlignment="1">
      <alignment horizontal="center" vertical="center" wrapText="1"/>
    </xf>
    <xf numFmtId="0" fontId="20" fillId="5" borderId="11" xfId="5" applyFont="1" applyFill="1" applyBorder="1" applyAlignment="1">
      <alignment horizontal="center" vertical="center" wrapText="1"/>
    </xf>
    <xf numFmtId="0" fontId="20" fillId="5" borderId="2" xfId="5" applyFont="1" applyFill="1" applyBorder="1" applyAlignment="1">
      <alignment horizontal="center" vertical="center" wrapText="1"/>
    </xf>
    <xf numFmtId="0" fontId="20" fillId="5" borderId="5" xfId="5" applyFont="1" applyFill="1" applyBorder="1" applyAlignment="1">
      <alignment horizontal="center" vertical="center" wrapText="1"/>
    </xf>
    <xf numFmtId="4" fontId="12" fillId="3" borderId="6" xfId="6" applyNumberFormat="1" applyFont="1" applyFill="1" applyBorder="1" applyAlignment="1">
      <alignment horizontal="center" vertical="center" wrapText="1"/>
    </xf>
    <xf numFmtId="0" fontId="12" fillId="3" borderId="5" xfId="5" applyFont="1" applyFill="1" applyBorder="1" applyAlignment="1">
      <alignment horizontal="center" vertical="center" wrapText="1"/>
    </xf>
    <xf numFmtId="0" fontId="12" fillId="3" borderId="7" xfId="5" applyFont="1" applyFill="1" applyBorder="1" applyAlignment="1">
      <alignment horizontal="center" vertical="center" wrapText="1"/>
    </xf>
    <xf numFmtId="4" fontId="7" fillId="0" borderId="5" xfId="5" applyNumberFormat="1" applyFont="1" applyBorder="1" applyAlignment="1">
      <alignment horizontal="center" vertical="center" wrapText="1"/>
    </xf>
    <xf numFmtId="4" fontId="7" fillId="0" borderId="12" xfId="5" applyNumberFormat="1" applyFont="1" applyBorder="1" applyAlignment="1">
      <alignment horizontal="center" vertical="center" wrapText="1"/>
    </xf>
    <xf numFmtId="49" fontId="8" fillId="3" borderId="11" xfId="2" applyNumberFormat="1" applyFont="1" applyFill="1" applyBorder="1" applyAlignment="1">
      <alignment horizontal="center" vertical="center"/>
    </xf>
    <xf numFmtId="4" fontId="12" fillId="3" borderId="5" xfId="6" applyNumberFormat="1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 wrapText="1"/>
    </xf>
    <xf numFmtId="4" fontId="12" fillId="3" borderId="5" xfId="5" applyNumberFormat="1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7" fillId="3" borderId="13" xfId="5" applyFont="1" applyFill="1" applyBorder="1" applyAlignment="1">
      <alignment horizontal="center" vertical="center" wrapText="1"/>
    </xf>
    <xf numFmtId="4" fontId="12" fillId="3" borderId="7" xfId="5" applyNumberFormat="1" applyFont="1" applyFill="1" applyBorder="1" applyAlignment="1">
      <alignment horizontal="center" vertical="center" wrapText="1"/>
    </xf>
    <xf numFmtId="4" fontId="12" fillId="3" borderId="14" xfId="5" applyNumberFormat="1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14" fontId="12" fillId="3" borderId="2" xfId="5" applyNumberFormat="1" applyFont="1" applyFill="1" applyBorder="1" applyAlignment="1">
      <alignment horizontal="center" vertical="center" wrapText="1"/>
    </xf>
    <xf numFmtId="0" fontId="21" fillId="6" borderId="3" xfId="5" applyFont="1" applyFill="1" applyBorder="1" applyAlignment="1">
      <alignment horizontal="center" vertical="center" wrapText="1"/>
    </xf>
    <xf numFmtId="0" fontId="21" fillId="6" borderId="18" xfId="5" applyFont="1" applyFill="1" applyBorder="1" applyAlignment="1">
      <alignment horizontal="center" vertical="center" wrapText="1"/>
    </xf>
    <xf numFmtId="0" fontId="21" fillId="6" borderId="4" xfId="5" applyFont="1" applyFill="1" applyBorder="1" applyAlignment="1">
      <alignment horizontal="center" vertical="center" wrapText="1"/>
    </xf>
    <xf numFmtId="14" fontId="7" fillId="3" borderId="2" xfId="5" applyNumberFormat="1" applyFont="1" applyFill="1" applyBorder="1" applyAlignment="1">
      <alignment horizontal="center" vertical="center" wrapText="1"/>
    </xf>
    <xf numFmtId="2" fontId="7" fillId="3" borderId="2" xfId="5" applyNumberFormat="1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/>
    </xf>
    <xf numFmtId="49" fontId="8" fillId="3" borderId="22" xfId="2" applyNumberFormat="1" applyFont="1" applyFill="1" applyBorder="1" applyAlignment="1">
      <alignment horizontal="center" vertical="center"/>
    </xf>
    <xf numFmtId="4" fontId="7" fillId="3" borderId="12" xfId="5" applyNumberFormat="1" applyFont="1" applyFill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2" fontId="7" fillId="0" borderId="2" xfId="5" applyNumberFormat="1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2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4" fontId="7" fillId="0" borderId="2" xfId="5" applyNumberFormat="1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center" vertical="center" wrapText="1"/>
    </xf>
    <xf numFmtId="0" fontId="21" fillId="6" borderId="23" xfId="5" applyFont="1" applyFill="1" applyBorder="1" applyAlignment="1">
      <alignment horizontal="center" vertical="center" wrapText="1"/>
    </xf>
    <xf numFmtId="0" fontId="21" fillId="6" borderId="24" xfId="5" applyFont="1" applyFill="1" applyBorder="1" applyAlignment="1">
      <alignment horizontal="center" vertical="center" wrapText="1"/>
    </xf>
    <xf numFmtId="0" fontId="21" fillId="6" borderId="25" xfId="5" applyFont="1" applyFill="1" applyBorder="1" applyAlignment="1">
      <alignment horizontal="center" vertical="center" wrapText="1"/>
    </xf>
    <xf numFmtId="0" fontId="7" fillId="3" borderId="11" xfId="5" applyFont="1" applyFill="1" applyBorder="1" applyAlignment="1">
      <alignment horizontal="center" vertical="center" wrapText="1"/>
    </xf>
    <xf numFmtId="0" fontId="20" fillId="2" borderId="23" xfId="5" applyFont="1" applyFill="1" applyBorder="1" applyAlignment="1">
      <alignment horizontal="center" vertical="center" wrapText="1"/>
    </xf>
    <xf numFmtId="0" fontId="20" fillId="2" borderId="24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5" borderId="19" xfId="5" applyFont="1" applyFill="1" applyBorder="1" applyAlignment="1">
      <alignment horizontal="center" vertical="center" wrapText="1"/>
    </xf>
    <xf numFmtId="0" fontId="20" fillId="5" borderId="20" xfId="5" applyFont="1" applyFill="1" applyBorder="1" applyAlignment="1">
      <alignment horizontal="center" vertical="center" wrapText="1"/>
    </xf>
    <xf numFmtId="0" fontId="20" fillId="5" borderId="21" xfId="5" applyFont="1" applyFill="1" applyBorder="1" applyAlignment="1">
      <alignment horizontal="center" vertical="center" wrapText="1"/>
    </xf>
    <xf numFmtId="0" fontId="20" fillId="3" borderId="22" xfId="5" applyFont="1" applyFill="1" applyBorder="1" applyAlignment="1">
      <alignment horizontal="center" vertical="center" wrapText="1"/>
    </xf>
    <xf numFmtId="0" fontId="19" fillId="3" borderId="1" xfId="5" applyFont="1" applyFill="1" applyBorder="1" applyAlignment="1">
      <alignment horizontal="center" vertical="center" wrapText="1"/>
    </xf>
    <xf numFmtId="0" fontId="19" fillId="3" borderId="12" xfId="5" applyFont="1" applyFill="1" applyBorder="1" applyAlignment="1">
      <alignment horizontal="center" vertical="center" wrapText="1"/>
    </xf>
    <xf numFmtId="0" fontId="21" fillId="6" borderId="16" xfId="5" applyFont="1" applyFill="1" applyBorder="1" applyAlignment="1">
      <alignment horizontal="center" vertical="center" wrapText="1"/>
    </xf>
    <xf numFmtId="0" fontId="21" fillId="6" borderId="13" xfId="5" applyFont="1" applyFill="1" applyBorder="1" applyAlignment="1">
      <alignment horizontal="center" vertical="center" wrapText="1"/>
    </xf>
    <xf numFmtId="0" fontId="21" fillId="6" borderId="14" xfId="5" applyFont="1" applyFill="1" applyBorder="1" applyAlignment="1">
      <alignment horizontal="center" vertical="center" wrapText="1"/>
    </xf>
    <xf numFmtId="0" fontId="20" fillId="2" borderId="17" xfId="5" applyFont="1" applyFill="1" applyBorder="1" applyAlignment="1">
      <alignment horizontal="center" vertical="center" wrapText="1"/>
    </xf>
    <xf numFmtId="0" fontId="20" fillId="2" borderId="26" xfId="5" applyFont="1" applyFill="1" applyBorder="1" applyAlignment="1">
      <alignment horizontal="center" vertical="center" wrapText="1"/>
    </xf>
    <xf numFmtId="0" fontId="20" fillId="2" borderId="27" xfId="5" applyFont="1" applyFill="1" applyBorder="1" applyAlignment="1">
      <alignment horizontal="center" vertical="center" wrapText="1"/>
    </xf>
    <xf numFmtId="0" fontId="12" fillId="3" borderId="15" xfId="5" applyFont="1" applyFill="1" applyBorder="1" applyAlignment="1">
      <alignment horizontal="center" vertical="center" wrapText="1"/>
    </xf>
    <xf numFmtId="0" fontId="12" fillId="3" borderId="6" xfId="5" applyFont="1" applyFill="1" applyBorder="1" applyAlignment="1">
      <alignment horizontal="center" vertical="center" wrapText="1"/>
    </xf>
    <xf numFmtId="2" fontId="12" fillId="3" borderId="2" xfId="5" applyNumberFormat="1" applyFont="1" applyFill="1" applyBorder="1" applyAlignment="1">
      <alignment horizontal="center" vertical="center" wrapText="1"/>
    </xf>
    <xf numFmtId="2" fontId="12" fillId="3" borderId="6" xfId="5" applyNumberFormat="1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 vertical="center" wrapText="1"/>
    </xf>
    <xf numFmtId="14" fontId="13" fillId="3" borderId="2" xfId="5" applyNumberFormat="1" applyFont="1" applyFill="1" applyBorder="1" applyAlignment="1">
      <alignment horizontal="center" vertical="center" wrapText="1"/>
    </xf>
    <xf numFmtId="0" fontId="7" fillId="3" borderId="22" xfId="5" applyFont="1" applyFill="1" applyBorder="1" applyAlignment="1">
      <alignment horizontal="center" vertical="center" wrapText="1"/>
    </xf>
    <xf numFmtId="2" fontId="7" fillId="3" borderId="1" xfId="5" applyNumberFormat="1" applyFont="1" applyFill="1" applyBorder="1" applyAlignment="1">
      <alignment horizontal="center" vertical="center" wrapText="1"/>
    </xf>
    <xf numFmtId="165" fontId="7" fillId="3" borderId="5" xfId="5" applyNumberFormat="1" applyFont="1" applyFill="1" applyBorder="1" applyAlignment="1">
      <alignment horizontal="center" vertical="center" wrapText="1"/>
    </xf>
    <xf numFmtId="4" fontId="14" fillId="3" borderId="5" xfId="4" applyNumberFormat="1" applyFont="1" applyFill="1" applyBorder="1" applyAlignment="1" applyProtection="1">
      <alignment horizontal="center" vertical="center" wrapText="1"/>
      <protection locked="0"/>
    </xf>
    <xf numFmtId="2" fontId="7" fillId="3" borderId="6" xfId="5" applyNumberFormat="1" applyFont="1" applyFill="1" applyBorder="1" applyAlignment="1">
      <alignment horizontal="center" vertical="center" wrapText="1"/>
    </xf>
    <xf numFmtId="2" fontId="14" fillId="3" borderId="2" xfId="4" applyNumberFormat="1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7" fillId="3" borderId="15" xfId="5" applyFont="1" applyFill="1" applyBorder="1" applyAlignment="1">
      <alignment horizontal="center" vertical="center" wrapText="1"/>
    </xf>
    <xf numFmtId="2" fontId="7" fillId="3" borderId="5" xfId="5" applyNumberFormat="1" applyFont="1" applyFill="1" applyBorder="1" applyAlignment="1">
      <alignment horizontal="center" vertical="center" wrapText="1"/>
    </xf>
    <xf numFmtId="2" fontId="7" fillId="3" borderId="7" xfId="5" applyNumberFormat="1" applyFont="1" applyFill="1" applyBorder="1" applyAlignment="1">
      <alignment horizontal="center" vertical="center" wrapText="1"/>
    </xf>
    <xf numFmtId="14" fontId="13" fillId="3" borderId="1" xfId="5" applyNumberFormat="1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4" fontId="14" fillId="3" borderId="12" xfId="4" applyNumberFormat="1" applyFont="1" applyFill="1" applyBorder="1" applyAlignment="1" applyProtection="1">
      <alignment horizontal="center" vertical="center" wrapText="1"/>
      <protection locked="0"/>
    </xf>
    <xf numFmtId="165" fontId="7" fillId="3" borderId="12" xfId="5" applyNumberFormat="1" applyFont="1" applyFill="1" applyBorder="1" applyAlignment="1">
      <alignment horizontal="center" vertical="center" wrapText="1"/>
    </xf>
    <xf numFmtId="165" fontId="7" fillId="3" borderId="2" xfId="5" applyNumberFormat="1" applyFont="1" applyFill="1" applyBorder="1" applyAlignment="1">
      <alignment horizontal="center" vertical="center" wrapText="1"/>
    </xf>
    <xf numFmtId="165" fontId="7" fillId="3" borderId="1" xfId="5" applyNumberFormat="1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/>
    </xf>
    <xf numFmtId="0" fontId="5" fillId="2" borderId="38" xfId="3" applyFont="1" applyFill="1" applyBorder="1" applyAlignment="1">
      <alignment horizontal="center"/>
    </xf>
    <xf numFmtId="0" fontId="5" fillId="2" borderId="37" xfId="3" applyFont="1" applyFill="1" applyBorder="1" applyAlignment="1">
      <alignment horizontal="center"/>
    </xf>
    <xf numFmtId="0" fontId="6" fillId="4" borderId="23" xfId="5" applyFont="1" applyFill="1" applyBorder="1" applyAlignment="1">
      <alignment horizontal="center" vertical="center" wrapText="1"/>
    </xf>
    <xf numFmtId="0" fontId="6" fillId="4" borderId="24" xfId="5" applyFont="1" applyFill="1" applyBorder="1" applyAlignment="1">
      <alignment horizontal="center" vertical="center" wrapText="1"/>
    </xf>
    <xf numFmtId="0" fontId="6" fillId="4" borderId="25" xfId="5" applyFont="1" applyFill="1" applyBorder="1" applyAlignment="1">
      <alignment horizontal="center" vertical="center" wrapText="1"/>
    </xf>
    <xf numFmtId="0" fontId="7" fillId="3" borderId="16" xfId="5" applyFont="1" applyFill="1" applyBorder="1" applyAlignment="1">
      <alignment horizontal="center" vertical="center" wrapText="1"/>
    </xf>
    <xf numFmtId="0" fontId="7" fillId="3" borderId="17" xfId="5" applyFont="1" applyFill="1" applyBorder="1" applyAlignment="1">
      <alignment horizontal="center" vertical="center" wrapText="1"/>
    </xf>
    <xf numFmtId="0" fontId="5" fillId="2" borderId="28" xfId="5" applyFont="1" applyFill="1" applyBorder="1" applyAlignment="1">
      <alignment horizontal="center" vertical="center" wrapText="1"/>
    </xf>
    <xf numFmtId="0" fontId="5" fillId="2" borderId="29" xfId="5" applyFont="1" applyFill="1" applyBorder="1" applyAlignment="1">
      <alignment horizontal="center" vertical="center" wrapText="1"/>
    </xf>
    <xf numFmtId="0" fontId="5" fillId="2" borderId="30" xfId="5" applyFont="1" applyFill="1" applyBorder="1" applyAlignment="1">
      <alignment horizontal="center" vertical="center" wrapText="1"/>
    </xf>
    <xf numFmtId="0" fontId="5" fillId="2" borderId="31" xfId="5" applyFont="1" applyFill="1" applyBorder="1" applyAlignment="1">
      <alignment horizontal="center" vertical="center" wrapText="1"/>
    </xf>
    <xf numFmtId="0" fontId="5" fillId="2" borderId="32" xfId="5" applyFont="1" applyFill="1" applyBorder="1" applyAlignment="1">
      <alignment horizontal="center" vertical="center" wrapText="1"/>
    </xf>
    <xf numFmtId="0" fontId="5" fillId="2" borderId="33" xfId="5" applyFont="1" applyFill="1" applyBorder="1" applyAlignment="1">
      <alignment horizontal="center" vertical="center" wrapText="1"/>
    </xf>
    <xf numFmtId="0" fontId="5" fillId="2" borderId="34" xfId="5" applyFont="1" applyFill="1" applyBorder="1" applyAlignment="1">
      <alignment horizontal="center" vertical="center" wrapText="1"/>
    </xf>
    <xf numFmtId="0" fontId="5" fillId="2" borderId="35" xfId="5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 wrapText="1"/>
    </xf>
    <xf numFmtId="14" fontId="7" fillId="3" borderId="6" xfId="5" applyNumberFormat="1" applyFont="1" applyFill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center" vertical="center" wrapText="1"/>
    </xf>
    <xf numFmtId="0" fontId="22" fillId="5" borderId="11" xfId="5" applyFont="1" applyFill="1" applyBorder="1" applyAlignment="1">
      <alignment horizontal="center" vertical="center" wrapText="1"/>
    </xf>
    <xf numFmtId="0" fontId="22" fillId="5" borderId="2" xfId="5" applyFont="1" applyFill="1" applyBorder="1" applyAlignment="1">
      <alignment horizontal="center" vertical="center" wrapText="1"/>
    </xf>
    <xf numFmtId="0" fontId="22" fillId="5" borderId="5" xfId="5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_19 07 2007 Тарифы на передачу РСК на 2007 год (2)" xfId="3"/>
    <cellStyle name="Обычный_Лист1" xfId="4"/>
    <cellStyle name="Обычный_Приложение 2" xfId="5"/>
    <cellStyle name="Финансовый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1819275</xdr:colOff>
      <xdr:row>10</xdr:row>
      <xdr:rowOff>0</xdr:rowOff>
    </xdr:to>
    <xdr:pic>
      <xdr:nvPicPr>
        <xdr:cNvPr id="176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57975" y="2590800"/>
          <a:ext cx="1819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</xdr:colOff>
      <xdr:row>8</xdr:row>
      <xdr:rowOff>171450</xdr:rowOff>
    </xdr:from>
    <xdr:to>
      <xdr:col>6</xdr:col>
      <xdr:colOff>1685925</xdr:colOff>
      <xdr:row>9</xdr:row>
      <xdr:rowOff>180975</xdr:rowOff>
    </xdr:to>
    <xdr:pic>
      <xdr:nvPicPr>
        <xdr:cNvPr id="1765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39175" y="2571750"/>
          <a:ext cx="1562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21</xdr:row>
      <xdr:rowOff>9525</xdr:rowOff>
    </xdr:from>
    <xdr:to>
      <xdr:col>5</xdr:col>
      <xdr:colOff>1847850</xdr:colOff>
      <xdr:row>22</xdr:row>
      <xdr:rowOff>9525</xdr:rowOff>
    </xdr:to>
    <xdr:pic>
      <xdr:nvPicPr>
        <xdr:cNvPr id="176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86550" y="4876800"/>
          <a:ext cx="1819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</xdr:colOff>
      <xdr:row>20</xdr:row>
      <xdr:rowOff>180975</xdr:rowOff>
    </xdr:from>
    <xdr:to>
      <xdr:col>6</xdr:col>
      <xdr:colOff>1685925</xdr:colOff>
      <xdr:row>22</xdr:row>
      <xdr:rowOff>0</xdr:rowOff>
    </xdr:to>
    <xdr:pic>
      <xdr:nvPicPr>
        <xdr:cNvPr id="1767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39175" y="4857750"/>
          <a:ext cx="1562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21</xdr:row>
      <xdr:rowOff>19050</xdr:rowOff>
    </xdr:from>
    <xdr:to>
      <xdr:col>5</xdr:col>
      <xdr:colOff>1847850</xdr:colOff>
      <xdr:row>22</xdr:row>
      <xdr:rowOff>19050</xdr:rowOff>
    </xdr:to>
    <xdr:pic>
      <xdr:nvPicPr>
        <xdr:cNvPr id="1768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86550" y="4886325"/>
          <a:ext cx="1819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130</xdr:row>
      <xdr:rowOff>76200</xdr:rowOff>
    </xdr:from>
    <xdr:to>
      <xdr:col>5</xdr:col>
      <xdr:colOff>1743075</xdr:colOff>
      <xdr:row>130</xdr:row>
      <xdr:rowOff>304800</xdr:rowOff>
    </xdr:to>
    <xdr:pic>
      <xdr:nvPicPr>
        <xdr:cNvPr id="1769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15125" y="28165425"/>
          <a:ext cx="16859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114300</xdr:colOff>
      <xdr:row>130</xdr:row>
      <xdr:rowOff>28575</xdr:rowOff>
    </xdr:from>
    <xdr:to>
      <xdr:col>6</xdr:col>
      <xdr:colOff>1685925</xdr:colOff>
      <xdr:row>130</xdr:row>
      <xdr:rowOff>323850</xdr:rowOff>
    </xdr:to>
    <xdr:pic>
      <xdr:nvPicPr>
        <xdr:cNvPr id="1770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29650" y="28117800"/>
          <a:ext cx="15716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85725</xdr:colOff>
      <xdr:row>142</xdr:row>
      <xdr:rowOff>9525</xdr:rowOff>
    </xdr:from>
    <xdr:to>
      <xdr:col>5</xdr:col>
      <xdr:colOff>1790700</xdr:colOff>
      <xdr:row>142</xdr:row>
      <xdr:rowOff>295275</xdr:rowOff>
    </xdr:to>
    <xdr:pic>
      <xdr:nvPicPr>
        <xdr:cNvPr id="1771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43700" y="30603825"/>
          <a:ext cx="1704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</xdr:colOff>
      <xdr:row>142</xdr:row>
      <xdr:rowOff>0</xdr:rowOff>
    </xdr:from>
    <xdr:to>
      <xdr:col>6</xdr:col>
      <xdr:colOff>1562100</xdr:colOff>
      <xdr:row>142</xdr:row>
      <xdr:rowOff>257175</xdr:rowOff>
    </xdr:to>
    <xdr:pic>
      <xdr:nvPicPr>
        <xdr:cNvPr id="1772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39175" y="30594300"/>
          <a:ext cx="14382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152</xdr:row>
      <xdr:rowOff>66675</xdr:rowOff>
    </xdr:from>
    <xdr:to>
      <xdr:col>5</xdr:col>
      <xdr:colOff>1857375</xdr:colOff>
      <xdr:row>152</xdr:row>
      <xdr:rowOff>257175</xdr:rowOff>
    </xdr:to>
    <xdr:pic>
      <xdr:nvPicPr>
        <xdr:cNvPr id="1773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57975" y="32899350"/>
          <a:ext cx="1857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152</xdr:row>
      <xdr:rowOff>85725</xdr:rowOff>
    </xdr:from>
    <xdr:to>
      <xdr:col>6</xdr:col>
      <xdr:colOff>1790700</xdr:colOff>
      <xdr:row>152</xdr:row>
      <xdr:rowOff>238125</xdr:rowOff>
    </xdr:to>
    <xdr:pic>
      <xdr:nvPicPr>
        <xdr:cNvPr id="1774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32918400"/>
          <a:ext cx="1724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170</xdr:row>
      <xdr:rowOff>76200</xdr:rowOff>
    </xdr:from>
    <xdr:to>
      <xdr:col>5</xdr:col>
      <xdr:colOff>1857375</xdr:colOff>
      <xdr:row>170</xdr:row>
      <xdr:rowOff>266700</xdr:rowOff>
    </xdr:to>
    <xdr:pic>
      <xdr:nvPicPr>
        <xdr:cNvPr id="1775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57975" y="36499800"/>
          <a:ext cx="1857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170</xdr:row>
      <xdr:rowOff>76200</xdr:rowOff>
    </xdr:from>
    <xdr:to>
      <xdr:col>6</xdr:col>
      <xdr:colOff>1781175</xdr:colOff>
      <xdr:row>170</xdr:row>
      <xdr:rowOff>228600</xdr:rowOff>
    </xdr:to>
    <xdr:pic>
      <xdr:nvPicPr>
        <xdr:cNvPr id="1776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0" y="36499800"/>
          <a:ext cx="1724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234</xdr:row>
      <xdr:rowOff>76200</xdr:rowOff>
    </xdr:from>
    <xdr:to>
      <xdr:col>5</xdr:col>
      <xdr:colOff>1809750</xdr:colOff>
      <xdr:row>234</xdr:row>
      <xdr:rowOff>257175</xdr:rowOff>
    </xdr:to>
    <xdr:pic>
      <xdr:nvPicPr>
        <xdr:cNvPr id="1777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96075" y="51044475"/>
          <a:ext cx="1771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234</xdr:row>
      <xdr:rowOff>85725</xdr:rowOff>
    </xdr:from>
    <xdr:to>
      <xdr:col>6</xdr:col>
      <xdr:colOff>1733550</xdr:colOff>
      <xdr:row>234</xdr:row>
      <xdr:rowOff>295275</xdr:rowOff>
    </xdr:to>
    <xdr:pic>
      <xdr:nvPicPr>
        <xdr:cNvPr id="1778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10600" y="51054000"/>
          <a:ext cx="1638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257</xdr:row>
      <xdr:rowOff>0</xdr:rowOff>
    </xdr:from>
    <xdr:to>
      <xdr:col>5</xdr:col>
      <xdr:colOff>1771650</xdr:colOff>
      <xdr:row>257</xdr:row>
      <xdr:rowOff>180975</xdr:rowOff>
    </xdr:to>
    <xdr:pic>
      <xdr:nvPicPr>
        <xdr:cNvPr id="1779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57975" y="55549800"/>
          <a:ext cx="1771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85725</xdr:colOff>
      <xdr:row>257</xdr:row>
      <xdr:rowOff>9525</xdr:rowOff>
    </xdr:from>
    <xdr:to>
      <xdr:col>6</xdr:col>
      <xdr:colOff>1724025</xdr:colOff>
      <xdr:row>258</xdr:row>
      <xdr:rowOff>28575</xdr:rowOff>
    </xdr:to>
    <xdr:pic>
      <xdr:nvPicPr>
        <xdr:cNvPr id="1780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01075" y="55559325"/>
          <a:ext cx="1638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g/AppData/Local/Microsoft/Windows/Temporary%20Internet%20Files/Content.IE5/HW2MAEKI/&#1041;&#1077;&#1083;&#1075;&#1086;&#1088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g/AppData/Local/Microsoft/Windows/Temporary%20Internet%20Files/Content.IE5/ZTL5LDBN/&#1041;&#1077;&#1083;&#1075;&#1086;&#1088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дивидуальные"/>
      <sheetName val="котловые"/>
    </sheetNames>
    <sheetDataSet>
      <sheetData sheetId="0" refreshError="1"/>
      <sheetData sheetId="1" refreshError="1">
        <row r="9">
          <cell r="B9" t="str">
            <v>№15/19  от 19.12.2013</v>
          </cell>
          <cell r="D9">
            <v>41660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дивидуальные"/>
      <sheetName val="котловые"/>
      <sheetName val="кofловые"/>
    </sheetNames>
    <sheetDataSet>
      <sheetData sheetId="0" refreshError="1"/>
      <sheetData sheetId="1" refreshError="1">
        <row r="9">
          <cell r="B9" t="str">
            <v>№15/19  от 19.12.2013</v>
          </cell>
          <cell r="F9">
            <v>946754.56000000006</v>
          </cell>
          <cell r="G9">
            <v>29.72</v>
          </cell>
          <cell r="H9">
            <v>1322.29</v>
          </cell>
        </row>
        <row r="11">
          <cell r="F11">
            <v>1135587.68</v>
          </cell>
          <cell r="G11">
            <v>107.55</v>
          </cell>
          <cell r="H11">
            <v>1642.17</v>
          </cell>
        </row>
        <row r="12">
          <cell r="F12">
            <v>798573.28</v>
          </cell>
          <cell r="G12">
            <v>206.17</v>
          </cell>
          <cell r="H12">
            <v>1769.93</v>
          </cell>
        </row>
        <row r="13">
          <cell r="F13">
            <v>863298.49</v>
          </cell>
          <cell r="G13">
            <v>459.32</v>
          </cell>
          <cell r="H13">
            <v>1802.56</v>
          </cell>
        </row>
        <row r="14">
          <cell r="H14">
            <v>796.79</v>
          </cell>
        </row>
        <row r="24">
          <cell r="H24">
            <v>885.8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9"/>
  <sheetViews>
    <sheetView tabSelected="1" zoomScale="75" zoomScaleNormal="75" zoomScaleSheetLayoutView="100" workbookViewId="0">
      <selection activeCell="L5" sqref="L5"/>
    </sheetView>
  </sheetViews>
  <sheetFormatPr defaultRowHeight="12.75"/>
  <cols>
    <col min="1" max="1" width="4.7109375" style="54" customWidth="1"/>
    <col min="2" max="2" width="20.140625" style="55" customWidth="1"/>
    <col min="3" max="3" width="13.5703125" style="73" customWidth="1"/>
    <col min="4" max="4" width="39.5703125" style="56" customWidth="1"/>
    <col min="5" max="5" width="50.85546875" style="55" customWidth="1"/>
    <col min="6" max="6" width="17.5703125" style="68" customWidth="1"/>
    <col min="7" max="7" width="17.28515625" style="68" customWidth="1"/>
    <col min="8" max="8" width="18" style="68" customWidth="1"/>
    <col min="9" max="9" width="15" style="68" customWidth="1"/>
    <col min="10" max="10" width="14" style="68" customWidth="1"/>
    <col min="11" max="11" width="17.140625" style="68" customWidth="1"/>
    <col min="12" max="16384" width="9.140625" style="54"/>
  </cols>
  <sheetData>
    <row r="1" spans="1:11">
      <c r="H1" s="69" t="s">
        <v>26</v>
      </c>
    </row>
    <row r="3" spans="1:11" ht="12.75" customHeight="1">
      <c r="A3" s="110" t="s">
        <v>0</v>
      </c>
      <c r="B3" s="104" t="s">
        <v>16</v>
      </c>
      <c r="C3" s="101" t="s">
        <v>17</v>
      </c>
      <c r="D3" s="107" t="s">
        <v>18</v>
      </c>
      <c r="E3" s="104" t="s">
        <v>19</v>
      </c>
      <c r="F3" s="88" t="s">
        <v>515</v>
      </c>
      <c r="G3" s="89"/>
      <c r="H3" s="90"/>
      <c r="I3" s="88" t="s">
        <v>516</v>
      </c>
      <c r="J3" s="89"/>
      <c r="K3" s="90"/>
    </row>
    <row r="4" spans="1:11" ht="12.75" customHeight="1">
      <c r="A4" s="110"/>
      <c r="B4" s="105"/>
      <c r="C4" s="102"/>
      <c r="D4" s="108"/>
      <c r="E4" s="105"/>
      <c r="F4" s="91" t="s">
        <v>20</v>
      </c>
      <c r="G4" s="92"/>
      <c r="H4" s="93" t="s">
        <v>21</v>
      </c>
      <c r="I4" s="91" t="s">
        <v>20</v>
      </c>
      <c r="J4" s="92"/>
      <c r="K4" s="93" t="s">
        <v>21</v>
      </c>
    </row>
    <row r="5" spans="1:11" s="55" customFormat="1" ht="45.75" customHeight="1">
      <c r="A5" s="110"/>
      <c r="B5" s="105"/>
      <c r="C5" s="102"/>
      <c r="D5" s="108"/>
      <c r="E5" s="105"/>
      <c r="F5" s="78" t="s">
        <v>22</v>
      </c>
      <c r="G5" s="78" t="s">
        <v>23</v>
      </c>
      <c r="H5" s="94"/>
      <c r="I5" s="78" t="s">
        <v>22</v>
      </c>
      <c r="J5" s="78" t="s">
        <v>23</v>
      </c>
      <c r="K5" s="94"/>
    </row>
    <row r="6" spans="1:11" ht="27" customHeight="1">
      <c r="A6" s="110"/>
      <c r="B6" s="106"/>
      <c r="C6" s="103"/>
      <c r="D6" s="109"/>
      <c r="E6" s="106"/>
      <c r="F6" s="78" t="s">
        <v>24</v>
      </c>
      <c r="G6" s="78" t="s">
        <v>25</v>
      </c>
      <c r="H6" s="78" t="s">
        <v>25</v>
      </c>
      <c r="I6" s="78" t="s">
        <v>24</v>
      </c>
      <c r="J6" s="78" t="s">
        <v>25</v>
      </c>
      <c r="K6" s="78" t="s">
        <v>25</v>
      </c>
    </row>
    <row r="7" spans="1:11" s="71" customFormat="1">
      <c r="A7" s="57">
        <v>1</v>
      </c>
      <c r="B7" s="58">
        <v>2</v>
      </c>
      <c r="C7" s="74">
        <v>3</v>
      </c>
      <c r="D7" s="58">
        <v>4</v>
      </c>
      <c r="E7" s="58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</row>
    <row r="8" spans="1:11">
      <c r="A8" s="98" t="s">
        <v>27</v>
      </c>
      <c r="B8" s="99"/>
      <c r="C8" s="99"/>
      <c r="D8" s="99"/>
      <c r="E8" s="99"/>
      <c r="F8" s="99"/>
      <c r="G8" s="99"/>
      <c r="H8" s="99"/>
      <c r="I8" s="99"/>
      <c r="J8" s="99"/>
      <c r="K8" s="100"/>
    </row>
    <row r="9" spans="1:11">
      <c r="A9" s="95" t="s">
        <v>28</v>
      </c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>
      <c r="A10" s="59">
        <v>1</v>
      </c>
      <c r="B10" s="60" t="s">
        <v>503</v>
      </c>
      <c r="C10" s="83">
        <v>41636</v>
      </c>
      <c r="D10" s="61" t="s">
        <v>14</v>
      </c>
      <c r="E10" s="62" t="s">
        <v>520</v>
      </c>
      <c r="F10" s="63">
        <v>213854.6</v>
      </c>
      <c r="G10" s="63">
        <v>70.98</v>
      </c>
      <c r="H10" s="63">
        <v>442.10500000000002</v>
      </c>
      <c r="I10" s="63">
        <v>137998.56</v>
      </c>
      <c r="J10" s="63">
        <v>70.977119999999999</v>
      </c>
      <c r="K10" s="63">
        <v>322.15800000000002</v>
      </c>
    </row>
    <row r="11" spans="1:11">
      <c r="A11" s="59">
        <v>2</v>
      </c>
      <c r="B11" s="60" t="s">
        <v>503</v>
      </c>
      <c r="C11" s="83">
        <v>41636</v>
      </c>
      <c r="D11" s="61" t="s">
        <v>14</v>
      </c>
      <c r="E11" s="62" t="s">
        <v>15</v>
      </c>
      <c r="F11" s="63">
        <v>62249.4</v>
      </c>
      <c r="G11" s="63">
        <v>26.22</v>
      </c>
      <c r="H11" s="63">
        <v>116.219101564082</v>
      </c>
      <c r="I11" s="63">
        <v>62249.4</v>
      </c>
      <c r="J11" s="63">
        <v>26.22</v>
      </c>
      <c r="K11" s="63">
        <v>116.21910156408154</v>
      </c>
    </row>
    <row r="12" spans="1:11">
      <c r="A12" s="59">
        <v>3</v>
      </c>
      <c r="B12" s="60" t="s">
        <v>503</v>
      </c>
      <c r="C12" s="83">
        <v>41636</v>
      </c>
      <c r="D12" s="61" t="s">
        <v>14</v>
      </c>
      <c r="E12" s="62" t="s">
        <v>30</v>
      </c>
      <c r="F12" s="63">
        <v>90919.4</v>
      </c>
      <c r="G12" s="63">
        <v>24.36</v>
      </c>
      <c r="H12" s="63">
        <v>246.53299999999999</v>
      </c>
      <c r="I12" s="63">
        <v>90919.4</v>
      </c>
      <c r="J12" s="63">
        <v>24.36</v>
      </c>
      <c r="K12" s="63">
        <v>246.53299999999999</v>
      </c>
    </row>
    <row r="13" spans="1:11">
      <c r="A13" s="59">
        <v>4</v>
      </c>
      <c r="B13" s="60" t="s">
        <v>503</v>
      </c>
      <c r="C13" s="83">
        <v>41636</v>
      </c>
      <c r="D13" s="62" t="s">
        <v>14</v>
      </c>
      <c r="E13" s="62" t="s">
        <v>31</v>
      </c>
      <c r="F13" s="63">
        <v>61352.6</v>
      </c>
      <c r="G13" s="63">
        <v>5.44</v>
      </c>
      <c r="H13" s="63">
        <v>177.297</v>
      </c>
      <c r="I13" s="63">
        <v>61352.6</v>
      </c>
      <c r="J13" s="63">
        <v>5.44</v>
      </c>
      <c r="K13" s="63">
        <v>177.297</v>
      </c>
    </row>
    <row r="14" spans="1:11">
      <c r="A14" s="59">
        <v>5</v>
      </c>
      <c r="B14" s="60" t="s">
        <v>503</v>
      </c>
      <c r="C14" s="83">
        <v>41636</v>
      </c>
      <c r="D14" s="61" t="s">
        <v>14</v>
      </c>
      <c r="E14" s="62" t="s">
        <v>33</v>
      </c>
      <c r="F14" s="63">
        <v>24418.9</v>
      </c>
      <c r="G14" s="63">
        <v>1.05</v>
      </c>
      <c r="H14" s="63">
        <v>41.2</v>
      </c>
      <c r="I14" s="63">
        <v>24418.9</v>
      </c>
      <c r="J14" s="63">
        <v>1.05</v>
      </c>
      <c r="K14" s="63">
        <v>41.2</v>
      </c>
    </row>
    <row r="15" spans="1:11">
      <c r="A15" s="59">
        <v>6</v>
      </c>
      <c r="B15" s="60" t="s">
        <v>503</v>
      </c>
      <c r="C15" s="83">
        <v>41636</v>
      </c>
      <c r="D15" s="61" t="s">
        <v>14</v>
      </c>
      <c r="E15" s="62" t="s">
        <v>35</v>
      </c>
      <c r="F15" s="63">
        <v>64075</v>
      </c>
      <c r="G15" s="63">
        <v>17.77</v>
      </c>
      <c r="H15" s="63">
        <v>145.92099999999999</v>
      </c>
      <c r="I15" s="63">
        <v>64075</v>
      </c>
      <c r="J15" s="63">
        <v>17.77</v>
      </c>
      <c r="K15" s="63">
        <v>145.92099999999999</v>
      </c>
    </row>
    <row r="16" spans="1:11">
      <c r="A16" s="59">
        <v>7</v>
      </c>
      <c r="B16" s="60" t="s">
        <v>503</v>
      </c>
      <c r="C16" s="83">
        <v>41636</v>
      </c>
      <c r="D16" s="61" t="s">
        <v>14</v>
      </c>
      <c r="E16" s="62" t="s">
        <v>38</v>
      </c>
      <c r="F16" s="63">
        <v>69289.7</v>
      </c>
      <c r="G16" s="63">
        <v>23.5</v>
      </c>
      <c r="H16" s="63">
        <v>157.68799999999999</v>
      </c>
      <c r="I16" s="63">
        <v>69289.7</v>
      </c>
      <c r="J16" s="63">
        <v>23.5</v>
      </c>
      <c r="K16" s="63">
        <v>157.68799999999999</v>
      </c>
    </row>
    <row r="17" spans="1:11">
      <c r="A17" s="59">
        <v>8</v>
      </c>
      <c r="B17" s="60" t="s">
        <v>503</v>
      </c>
      <c r="C17" s="83">
        <v>41636</v>
      </c>
      <c r="D17" s="61" t="s">
        <v>14</v>
      </c>
      <c r="E17" s="62" t="s">
        <v>32</v>
      </c>
      <c r="F17" s="63">
        <v>89325.2</v>
      </c>
      <c r="G17" s="63">
        <v>1.32</v>
      </c>
      <c r="H17" s="63">
        <v>217.10300000000001</v>
      </c>
      <c r="I17" s="63">
        <v>89325.2</v>
      </c>
      <c r="J17" s="63">
        <v>1.32</v>
      </c>
      <c r="K17" s="63">
        <v>217.10300000000001</v>
      </c>
    </row>
    <row r="18" spans="1:11">
      <c r="A18" s="59">
        <v>9</v>
      </c>
      <c r="B18" s="60" t="s">
        <v>503</v>
      </c>
      <c r="C18" s="83">
        <v>41636</v>
      </c>
      <c r="D18" s="61" t="s">
        <v>14</v>
      </c>
      <c r="E18" s="62" t="s">
        <v>36</v>
      </c>
      <c r="F18" s="63">
        <v>104288.6</v>
      </c>
      <c r="G18" s="63">
        <v>42.99</v>
      </c>
      <c r="H18" s="63">
        <v>381.98200000000003</v>
      </c>
      <c r="I18" s="63">
        <v>104288.6</v>
      </c>
      <c r="J18" s="63">
        <v>42.99</v>
      </c>
      <c r="K18" s="63">
        <v>381.98200000000003</v>
      </c>
    </row>
    <row r="19" spans="1:11">
      <c r="A19" s="59">
        <v>10</v>
      </c>
      <c r="B19" s="60" t="s">
        <v>503</v>
      </c>
      <c r="C19" s="83">
        <v>41636</v>
      </c>
      <c r="D19" s="61" t="s">
        <v>14</v>
      </c>
      <c r="E19" s="62" t="s">
        <v>37</v>
      </c>
      <c r="F19" s="63">
        <v>74023.399999999994</v>
      </c>
      <c r="G19" s="63">
        <v>15.94</v>
      </c>
      <c r="H19" s="63">
        <v>123.765</v>
      </c>
      <c r="I19" s="63">
        <v>74023.399999999994</v>
      </c>
      <c r="J19" s="63">
        <v>15.94</v>
      </c>
      <c r="K19" s="63">
        <v>123.765</v>
      </c>
    </row>
    <row r="20" spans="1:11">
      <c r="A20" s="59">
        <v>11</v>
      </c>
      <c r="B20" s="60" t="s">
        <v>503</v>
      </c>
      <c r="C20" s="83">
        <v>41636</v>
      </c>
      <c r="D20" s="61" t="s">
        <v>14</v>
      </c>
      <c r="E20" s="62" t="s">
        <v>34</v>
      </c>
      <c r="F20" s="63">
        <v>139552.6</v>
      </c>
      <c r="G20" s="63">
        <v>24.79</v>
      </c>
      <c r="H20" s="63">
        <v>300</v>
      </c>
      <c r="I20" s="63">
        <v>139552.6</v>
      </c>
      <c r="J20" s="63">
        <v>24.79</v>
      </c>
      <c r="K20" s="63">
        <v>300</v>
      </c>
    </row>
    <row r="21" spans="1:11">
      <c r="A21" s="59">
        <v>12</v>
      </c>
      <c r="B21" s="60" t="s">
        <v>503</v>
      </c>
      <c r="C21" s="83">
        <v>41636</v>
      </c>
      <c r="D21" s="61" t="s">
        <v>14</v>
      </c>
      <c r="E21" s="62" t="s">
        <v>39</v>
      </c>
      <c r="F21" s="63">
        <v>44918.3</v>
      </c>
      <c r="G21" s="63">
        <v>36.729999999999997</v>
      </c>
      <c r="H21" s="63">
        <v>175.67400000000001</v>
      </c>
      <c r="I21" s="63">
        <v>44918.3</v>
      </c>
      <c r="J21" s="63">
        <v>36.729999999999997</v>
      </c>
      <c r="K21" s="63">
        <v>175.67400000000001</v>
      </c>
    </row>
    <row r="22" spans="1:11">
      <c r="A22" s="59">
        <v>13</v>
      </c>
      <c r="B22" s="60" t="s">
        <v>503</v>
      </c>
      <c r="C22" s="83">
        <v>41636</v>
      </c>
      <c r="D22" s="61" t="s">
        <v>14</v>
      </c>
      <c r="E22" s="62" t="s">
        <v>40</v>
      </c>
      <c r="F22" s="63">
        <v>37586.699999999997</v>
      </c>
      <c r="G22" s="63">
        <v>30.5</v>
      </c>
      <c r="H22" s="63">
        <v>219</v>
      </c>
      <c r="I22" s="63">
        <v>37586.699999999997</v>
      </c>
      <c r="J22" s="63">
        <v>30.5</v>
      </c>
      <c r="K22" s="63">
        <v>219</v>
      </c>
    </row>
    <row r="23" spans="1:11">
      <c r="A23" s="59">
        <v>14</v>
      </c>
      <c r="B23" s="60" t="s">
        <v>503</v>
      </c>
      <c r="C23" s="83">
        <v>41636</v>
      </c>
      <c r="D23" s="61" t="s">
        <v>14</v>
      </c>
      <c r="E23" s="62" t="s">
        <v>41</v>
      </c>
      <c r="F23" s="63">
        <v>164943.6</v>
      </c>
      <c r="G23" s="63">
        <v>13.19</v>
      </c>
      <c r="H23" s="63">
        <v>399.35</v>
      </c>
      <c r="I23" s="63">
        <v>164943.6</v>
      </c>
      <c r="J23" s="63">
        <v>13.19</v>
      </c>
      <c r="K23" s="63">
        <v>399.19</v>
      </c>
    </row>
    <row r="24" spans="1:11">
      <c r="A24" s="59">
        <v>15</v>
      </c>
      <c r="B24" s="60" t="s">
        <v>503</v>
      </c>
      <c r="C24" s="83">
        <v>41636</v>
      </c>
      <c r="D24" s="61" t="s">
        <v>14</v>
      </c>
      <c r="E24" s="62" t="s">
        <v>42</v>
      </c>
      <c r="F24" s="63">
        <v>53179.5</v>
      </c>
      <c r="G24" s="63">
        <v>5.41</v>
      </c>
      <c r="H24" s="63">
        <v>184.40199999999999</v>
      </c>
      <c r="I24" s="63">
        <v>53179.5</v>
      </c>
      <c r="J24" s="63">
        <v>5.41</v>
      </c>
      <c r="K24" s="63">
        <v>184.40199999999999</v>
      </c>
    </row>
    <row r="25" spans="1:11">
      <c r="A25" s="59">
        <v>16</v>
      </c>
      <c r="B25" s="60" t="s">
        <v>503</v>
      </c>
      <c r="C25" s="83">
        <v>41636</v>
      </c>
      <c r="D25" s="61" t="s">
        <v>14</v>
      </c>
      <c r="E25" s="62" t="s">
        <v>43</v>
      </c>
      <c r="F25" s="63">
        <v>69018.8</v>
      </c>
      <c r="G25" s="63">
        <v>16.420000000000002</v>
      </c>
      <c r="H25" s="63">
        <v>220.2</v>
      </c>
      <c r="I25" s="63">
        <v>69018.8</v>
      </c>
      <c r="J25" s="63">
        <v>16.420000000000002</v>
      </c>
      <c r="K25" s="63">
        <v>220.2</v>
      </c>
    </row>
    <row r="26" spans="1:11">
      <c r="A26" s="59">
        <v>17</v>
      </c>
      <c r="B26" s="60" t="s">
        <v>503</v>
      </c>
      <c r="C26" s="83">
        <v>41636</v>
      </c>
      <c r="D26" s="61" t="s">
        <v>14</v>
      </c>
      <c r="E26" s="62" t="s">
        <v>44</v>
      </c>
      <c r="F26" s="63">
        <v>14301</v>
      </c>
      <c r="G26" s="63">
        <v>5.0060000000000002</v>
      </c>
      <c r="H26" s="63">
        <v>24.567</v>
      </c>
      <c r="I26" s="63">
        <v>14301</v>
      </c>
      <c r="J26" s="63">
        <v>5.01</v>
      </c>
      <c r="K26" s="63">
        <v>24.567</v>
      </c>
    </row>
    <row r="27" spans="1:11">
      <c r="A27" s="59">
        <v>18</v>
      </c>
      <c r="B27" s="60" t="s">
        <v>503</v>
      </c>
      <c r="C27" s="83">
        <v>41636</v>
      </c>
      <c r="D27" s="61" t="s">
        <v>14</v>
      </c>
      <c r="E27" s="62" t="s">
        <v>45</v>
      </c>
      <c r="F27" s="63">
        <v>48950.1</v>
      </c>
      <c r="G27" s="63">
        <v>22.34</v>
      </c>
      <c r="H27" s="63">
        <v>92.156000000000006</v>
      </c>
      <c r="I27" s="63">
        <v>48950.1</v>
      </c>
      <c r="J27" s="63">
        <v>22.34</v>
      </c>
      <c r="K27" s="63">
        <v>92.156000000000006</v>
      </c>
    </row>
    <row r="28" spans="1:11">
      <c r="A28" s="59">
        <v>19</v>
      </c>
      <c r="B28" s="60" t="s">
        <v>503</v>
      </c>
      <c r="C28" s="83">
        <v>41636</v>
      </c>
      <c r="D28" s="61" t="s">
        <v>14</v>
      </c>
      <c r="E28" s="62" t="s">
        <v>46</v>
      </c>
      <c r="F28" s="63">
        <v>40917.800000000003</v>
      </c>
      <c r="G28" s="63">
        <v>9.6</v>
      </c>
      <c r="H28" s="63">
        <v>156.9</v>
      </c>
      <c r="I28" s="63">
        <v>40917.800000000003</v>
      </c>
      <c r="J28" s="63">
        <v>9.6</v>
      </c>
      <c r="K28" s="63">
        <v>156.9</v>
      </c>
    </row>
    <row r="29" spans="1:11">
      <c r="A29" s="59">
        <v>20</v>
      </c>
      <c r="B29" s="60" t="s">
        <v>503</v>
      </c>
      <c r="C29" s="83">
        <v>41636</v>
      </c>
      <c r="D29" s="61" t="s">
        <v>14</v>
      </c>
      <c r="E29" s="62" t="s">
        <v>47</v>
      </c>
      <c r="F29" s="63">
        <v>105671.3</v>
      </c>
      <c r="G29" s="63">
        <v>17.04</v>
      </c>
      <c r="H29" s="63">
        <v>144.30000000000001</v>
      </c>
      <c r="I29" s="63">
        <v>105671.3</v>
      </c>
      <c r="J29" s="63">
        <v>17.04</v>
      </c>
      <c r="K29" s="63">
        <v>144.30000000000001</v>
      </c>
    </row>
    <row r="30" spans="1:11">
      <c r="A30" s="59">
        <v>21</v>
      </c>
      <c r="B30" s="60" t="s">
        <v>503</v>
      </c>
      <c r="C30" s="83">
        <v>41636</v>
      </c>
      <c r="D30" s="61" t="s">
        <v>14</v>
      </c>
      <c r="E30" s="62" t="s">
        <v>48</v>
      </c>
      <c r="F30" s="63">
        <v>28426.799999999999</v>
      </c>
      <c r="G30" s="63">
        <v>35.380000000000003</v>
      </c>
      <c r="H30" s="63">
        <v>193.1</v>
      </c>
      <c r="I30" s="63">
        <v>28426.799999999999</v>
      </c>
      <c r="J30" s="63">
        <v>39.31</v>
      </c>
      <c r="K30" s="63">
        <v>193.1</v>
      </c>
    </row>
    <row r="31" spans="1:11">
      <c r="A31" s="59">
        <v>22</v>
      </c>
      <c r="B31" s="60" t="s">
        <v>503</v>
      </c>
      <c r="C31" s="83">
        <v>41636</v>
      </c>
      <c r="D31" s="61" t="s">
        <v>14</v>
      </c>
      <c r="E31" s="62" t="s">
        <v>50</v>
      </c>
      <c r="F31" s="63">
        <v>35344.400000000001</v>
      </c>
      <c r="G31" s="63">
        <v>1.1299999999999999</v>
      </c>
      <c r="H31" s="63">
        <v>76.421000000000006</v>
      </c>
      <c r="I31" s="63">
        <v>35344.400000000001</v>
      </c>
      <c r="J31" s="63">
        <v>1.1299999999999999</v>
      </c>
      <c r="K31" s="63">
        <v>76.421000000000006</v>
      </c>
    </row>
    <row r="32" spans="1:11">
      <c r="A32" s="59">
        <v>23</v>
      </c>
      <c r="B32" s="60" t="s">
        <v>503</v>
      </c>
      <c r="C32" s="83">
        <v>41636</v>
      </c>
      <c r="D32" s="61" t="s">
        <v>14</v>
      </c>
      <c r="E32" s="62" t="s">
        <v>49</v>
      </c>
      <c r="F32" s="63">
        <v>35963.300000000003</v>
      </c>
      <c r="G32" s="63">
        <v>22.11</v>
      </c>
      <c r="H32" s="63">
        <v>252.27512000000002</v>
      </c>
      <c r="I32" s="63">
        <v>35963.300000000003</v>
      </c>
      <c r="J32" s="63">
        <v>22.11</v>
      </c>
      <c r="K32" s="63">
        <v>252.27512000000002</v>
      </c>
    </row>
    <row r="33" spans="1:11">
      <c r="A33" s="59">
        <v>24</v>
      </c>
      <c r="B33" s="60" t="s">
        <v>503</v>
      </c>
      <c r="C33" s="83">
        <v>41636</v>
      </c>
      <c r="D33" s="61" t="s">
        <v>14</v>
      </c>
      <c r="E33" s="62" t="s">
        <v>51</v>
      </c>
      <c r="F33" s="63">
        <v>2329787.9</v>
      </c>
      <c r="G33" s="63">
        <v>243.34</v>
      </c>
      <c r="H33" s="63">
        <v>4779.1610000000001</v>
      </c>
      <c r="I33" s="63">
        <v>2329787.9</v>
      </c>
      <c r="J33" s="63">
        <v>243.34</v>
      </c>
      <c r="K33" s="63">
        <v>4779.1610000000001</v>
      </c>
    </row>
    <row r="34" spans="1:11">
      <c r="A34" s="59">
        <v>25</v>
      </c>
      <c r="B34" s="60" t="s">
        <v>503</v>
      </c>
      <c r="C34" s="83">
        <v>41636</v>
      </c>
      <c r="D34" s="61" t="s">
        <v>14</v>
      </c>
      <c r="E34" s="62" t="s">
        <v>52</v>
      </c>
      <c r="F34" s="63">
        <v>290396.7</v>
      </c>
      <c r="G34" s="63">
        <v>30.48</v>
      </c>
      <c r="H34" s="63">
        <v>612.96900000000005</v>
      </c>
      <c r="I34" s="63">
        <v>260325.5</v>
      </c>
      <c r="J34" s="63">
        <v>30.48</v>
      </c>
      <c r="K34" s="63">
        <v>472.75169953632144</v>
      </c>
    </row>
    <row r="35" spans="1:11">
      <c r="A35" s="59">
        <v>26</v>
      </c>
      <c r="B35" s="60" t="s">
        <v>503</v>
      </c>
      <c r="C35" s="83">
        <v>41636</v>
      </c>
      <c r="D35" s="61" t="s">
        <v>14</v>
      </c>
      <c r="E35" s="62" t="s">
        <v>53</v>
      </c>
      <c r="F35" s="63">
        <v>106037</v>
      </c>
      <c r="G35" s="63">
        <v>38.64</v>
      </c>
      <c r="H35" s="63">
        <v>221.4</v>
      </c>
      <c r="I35" s="63">
        <v>106037</v>
      </c>
      <c r="J35" s="63">
        <v>38.64</v>
      </c>
      <c r="K35" s="63">
        <v>221.4</v>
      </c>
    </row>
    <row r="36" spans="1:11">
      <c r="A36" s="59">
        <v>27</v>
      </c>
      <c r="B36" s="60" t="s">
        <v>503</v>
      </c>
      <c r="C36" s="83">
        <v>41636</v>
      </c>
      <c r="D36" s="61" t="s">
        <v>14</v>
      </c>
      <c r="E36" s="62" t="s">
        <v>55</v>
      </c>
      <c r="F36" s="63">
        <v>455756.3</v>
      </c>
      <c r="G36" s="63">
        <v>112.72</v>
      </c>
      <c r="H36" s="63">
        <v>1117.9880000000001</v>
      </c>
      <c r="I36" s="63">
        <v>455756.3</v>
      </c>
      <c r="J36" s="63">
        <v>112.72</v>
      </c>
      <c r="K36" s="63">
        <v>1117.9880000000001</v>
      </c>
    </row>
    <row r="37" spans="1:11">
      <c r="A37" s="59">
        <v>28</v>
      </c>
      <c r="B37" s="60" t="s">
        <v>503</v>
      </c>
      <c r="C37" s="83">
        <v>41636</v>
      </c>
      <c r="D37" s="61" t="s">
        <v>14</v>
      </c>
      <c r="E37" s="62" t="s">
        <v>54</v>
      </c>
      <c r="F37" s="63">
        <v>110209.9</v>
      </c>
      <c r="G37" s="63">
        <v>25.36</v>
      </c>
      <c r="H37" s="63">
        <v>526.63699999999994</v>
      </c>
      <c r="I37" s="63">
        <v>110209.9</v>
      </c>
      <c r="J37" s="63">
        <v>25.36</v>
      </c>
      <c r="K37" s="63">
        <v>526.63699999999994</v>
      </c>
    </row>
    <row r="38" spans="1:11">
      <c r="A38" s="95" t="s">
        <v>57</v>
      </c>
      <c r="B38" s="96"/>
      <c r="C38" s="96"/>
      <c r="D38" s="96"/>
      <c r="E38" s="96"/>
      <c r="F38" s="96"/>
      <c r="G38" s="96"/>
      <c r="H38" s="96"/>
      <c r="I38" s="96"/>
      <c r="J38" s="96"/>
      <c r="K38" s="97"/>
    </row>
    <row r="39" spans="1:11" ht="25.5">
      <c r="A39" s="59">
        <v>1</v>
      </c>
      <c r="B39" s="60" t="s">
        <v>446</v>
      </c>
      <c r="C39" s="83">
        <v>41628</v>
      </c>
      <c r="D39" s="61" t="s">
        <v>101</v>
      </c>
      <c r="E39" s="62" t="s">
        <v>94</v>
      </c>
      <c r="F39" s="63">
        <v>372818.98</v>
      </c>
      <c r="G39" s="63">
        <v>436.03</v>
      </c>
      <c r="H39" s="63">
        <v>1173.31</v>
      </c>
      <c r="I39" s="63">
        <v>372818.98</v>
      </c>
      <c r="J39" s="63">
        <v>436.03</v>
      </c>
      <c r="K39" s="63">
        <v>1173.31</v>
      </c>
    </row>
    <row r="40" spans="1:11" ht="25.5">
      <c r="A40" s="64">
        <v>2</v>
      </c>
      <c r="B40" s="65" t="s">
        <v>447</v>
      </c>
      <c r="C40" s="84">
        <v>41628</v>
      </c>
      <c r="D40" s="66" t="s">
        <v>101</v>
      </c>
      <c r="E40" s="62" t="s">
        <v>59</v>
      </c>
      <c r="F40" s="63">
        <v>209854.07999999999</v>
      </c>
      <c r="G40" s="63">
        <v>98.07</v>
      </c>
      <c r="H40" s="63">
        <v>422.37</v>
      </c>
      <c r="I40" s="63">
        <v>122712.73</v>
      </c>
      <c r="J40" s="63">
        <v>131.22999999999999</v>
      </c>
      <c r="K40" s="63">
        <v>408</v>
      </c>
    </row>
    <row r="41" spans="1:11" ht="25.5">
      <c r="A41" s="59">
        <v>3</v>
      </c>
      <c r="B41" s="60" t="s">
        <v>447</v>
      </c>
      <c r="C41" s="83">
        <v>41628</v>
      </c>
      <c r="D41" s="61" t="s">
        <v>101</v>
      </c>
      <c r="E41" s="62" t="s">
        <v>60</v>
      </c>
      <c r="F41" s="63">
        <v>532589.29</v>
      </c>
      <c r="G41" s="63">
        <v>424.25</v>
      </c>
      <c r="H41" s="63">
        <v>1650.86</v>
      </c>
      <c r="I41" s="63">
        <v>569037.1</v>
      </c>
      <c r="J41" s="63">
        <v>416.63</v>
      </c>
      <c r="K41" s="63">
        <v>1718.12</v>
      </c>
    </row>
    <row r="42" spans="1:11" ht="25.5">
      <c r="A42" s="59">
        <v>4</v>
      </c>
      <c r="B42" s="60" t="s">
        <v>447</v>
      </c>
      <c r="C42" s="83">
        <v>41628</v>
      </c>
      <c r="D42" s="61" t="s">
        <v>101</v>
      </c>
      <c r="E42" s="62" t="s">
        <v>61</v>
      </c>
      <c r="F42" s="63">
        <v>4553.99</v>
      </c>
      <c r="G42" s="63">
        <v>14.61</v>
      </c>
      <c r="H42" s="63">
        <v>59.01</v>
      </c>
      <c r="I42" s="63">
        <v>78626.61</v>
      </c>
      <c r="J42" s="63">
        <v>17.899999999999999</v>
      </c>
      <c r="K42" s="63">
        <v>86.32</v>
      </c>
    </row>
    <row r="43" spans="1:11" ht="25.5">
      <c r="A43" s="59">
        <v>5</v>
      </c>
      <c r="B43" s="60" t="s">
        <v>447</v>
      </c>
      <c r="C43" s="83">
        <v>41628</v>
      </c>
      <c r="D43" s="61" t="s">
        <v>101</v>
      </c>
      <c r="E43" s="62" t="s">
        <v>62</v>
      </c>
      <c r="F43" s="63">
        <v>39698.980000000003</v>
      </c>
      <c r="G43" s="63">
        <v>28.83</v>
      </c>
      <c r="H43" s="63">
        <v>94.85</v>
      </c>
      <c r="I43" s="63">
        <v>3165.69</v>
      </c>
      <c r="J43" s="63">
        <v>43.16</v>
      </c>
      <c r="K43" s="63">
        <v>62.82</v>
      </c>
    </row>
    <row r="44" spans="1:11" ht="25.5">
      <c r="A44" s="59">
        <v>6</v>
      </c>
      <c r="B44" s="60" t="s">
        <v>447</v>
      </c>
      <c r="C44" s="83">
        <v>41628</v>
      </c>
      <c r="D44" s="61" t="s">
        <v>101</v>
      </c>
      <c r="E44" s="62" t="s">
        <v>63</v>
      </c>
      <c r="F44" s="63">
        <v>17099.78</v>
      </c>
      <c r="G44" s="63">
        <v>83.9</v>
      </c>
      <c r="H44" s="63">
        <v>153.54</v>
      </c>
      <c r="I44" s="63">
        <v>36850.29</v>
      </c>
      <c r="J44" s="63">
        <v>120.81</v>
      </c>
      <c r="K44" s="63">
        <v>168.95</v>
      </c>
    </row>
    <row r="45" spans="1:11" ht="25.5">
      <c r="A45" s="59">
        <v>7</v>
      </c>
      <c r="B45" s="60" t="s">
        <v>447</v>
      </c>
      <c r="C45" s="83">
        <v>41628</v>
      </c>
      <c r="D45" s="61" t="s">
        <v>101</v>
      </c>
      <c r="E45" s="62" t="s">
        <v>64</v>
      </c>
      <c r="F45" s="63">
        <v>83020.34</v>
      </c>
      <c r="G45" s="63">
        <v>40.74</v>
      </c>
      <c r="H45" s="63">
        <v>487.75</v>
      </c>
      <c r="I45" s="63">
        <v>47698.400000000001</v>
      </c>
      <c r="J45" s="63">
        <v>71.760000000000005</v>
      </c>
      <c r="K45" s="63">
        <v>509.99</v>
      </c>
    </row>
    <row r="46" spans="1:11" ht="25.5">
      <c r="A46" s="59">
        <v>8</v>
      </c>
      <c r="B46" s="60" t="s">
        <v>447</v>
      </c>
      <c r="C46" s="83">
        <v>41628</v>
      </c>
      <c r="D46" s="61" t="s">
        <v>101</v>
      </c>
      <c r="E46" s="65" t="s">
        <v>65</v>
      </c>
      <c r="F46" s="63">
        <v>58570.57</v>
      </c>
      <c r="G46" s="63">
        <v>69.53</v>
      </c>
      <c r="H46" s="63">
        <v>598.75</v>
      </c>
      <c r="I46" s="63">
        <v>86614.26</v>
      </c>
      <c r="J46" s="63">
        <v>105.44</v>
      </c>
      <c r="K46" s="63">
        <v>490.83</v>
      </c>
    </row>
    <row r="47" spans="1:11" ht="25.5">
      <c r="A47" s="59">
        <v>9</v>
      </c>
      <c r="B47" s="60" t="s">
        <v>447</v>
      </c>
      <c r="C47" s="83">
        <v>41628</v>
      </c>
      <c r="D47" s="61" t="s">
        <v>101</v>
      </c>
      <c r="E47" s="65" t="s">
        <v>66</v>
      </c>
      <c r="F47" s="63">
        <v>39459.300000000003</v>
      </c>
      <c r="G47" s="63">
        <v>99.93</v>
      </c>
      <c r="H47" s="63">
        <v>368.45</v>
      </c>
      <c r="I47" s="63">
        <v>41049.519999999997</v>
      </c>
      <c r="J47" s="63">
        <v>135.56</v>
      </c>
      <c r="K47" s="63">
        <v>368.45</v>
      </c>
    </row>
    <row r="48" spans="1:11" ht="25.5">
      <c r="A48" s="59">
        <v>10</v>
      </c>
      <c r="B48" s="60" t="s">
        <v>447</v>
      </c>
      <c r="C48" s="83">
        <v>41628</v>
      </c>
      <c r="D48" s="61" t="s">
        <v>101</v>
      </c>
      <c r="E48" s="65" t="s">
        <v>67</v>
      </c>
      <c r="F48" s="63">
        <v>80925.8</v>
      </c>
      <c r="G48" s="63">
        <v>147.61000000000001</v>
      </c>
      <c r="H48" s="63">
        <v>270.31</v>
      </c>
      <c r="I48" s="63">
        <v>109178.48</v>
      </c>
      <c r="J48" s="63">
        <v>88.85</v>
      </c>
      <c r="K48" s="63">
        <v>322.56</v>
      </c>
    </row>
    <row r="49" spans="1:11" ht="25.5">
      <c r="A49" s="59">
        <v>11</v>
      </c>
      <c r="B49" s="60" t="s">
        <v>447</v>
      </c>
      <c r="C49" s="83">
        <v>41628</v>
      </c>
      <c r="D49" s="61" t="s">
        <v>101</v>
      </c>
      <c r="E49" s="65" t="s">
        <v>68</v>
      </c>
      <c r="F49" s="63">
        <v>36471.81</v>
      </c>
      <c r="G49" s="63">
        <v>77.83</v>
      </c>
      <c r="H49" s="63">
        <v>374.78</v>
      </c>
      <c r="I49" s="63">
        <v>32325.62</v>
      </c>
      <c r="J49" s="63">
        <v>103.12</v>
      </c>
      <c r="K49" s="63">
        <v>555.39</v>
      </c>
    </row>
    <row r="50" spans="1:11" ht="25.5">
      <c r="A50" s="59">
        <v>12</v>
      </c>
      <c r="B50" s="60" t="s">
        <v>447</v>
      </c>
      <c r="C50" s="83">
        <v>41628</v>
      </c>
      <c r="D50" s="61" t="s">
        <v>101</v>
      </c>
      <c r="E50" s="65" t="s">
        <v>69</v>
      </c>
      <c r="F50" s="63">
        <v>114461.97</v>
      </c>
      <c r="G50" s="63">
        <v>83.43</v>
      </c>
      <c r="H50" s="63">
        <v>545.44000000000005</v>
      </c>
      <c r="I50" s="63">
        <v>125150.96</v>
      </c>
      <c r="J50" s="63">
        <v>104.2</v>
      </c>
      <c r="K50" s="63">
        <v>453.14</v>
      </c>
    </row>
    <row r="51" spans="1:11" ht="25.5">
      <c r="A51" s="59">
        <v>13</v>
      </c>
      <c r="B51" s="60" t="s">
        <v>447</v>
      </c>
      <c r="C51" s="83">
        <v>41628</v>
      </c>
      <c r="D51" s="61" t="s">
        <v>101</v>
      </c>
      <c r="E51" s="65" t="s">
        <v>70</v>
      </c>
      <c r="F51" s="63">
        <v>125157.34</v>
      </c>
      <c r="G51" s="63">
        <v>83.11</v>
      </c>
      <c r="H51" s="63">
        <v>353.99</v>
      </c>
      <c r="I51" s="63">
        <v>116119.21</v>
      </c>
      <c r="J51" s="63">
        <v>135.93</v>
      </c>
      <c r="K51" s="63">
        <v>370.78</v>
      </c>
    </row>
    <row r="52" spans="1:11" ht="25.5">
      <c r="A52" s="59">
        <v>14</v>
      </c>
      <c r="B52" s="60" t="s">
        <v>447</v>
      </c>
      <c r="C52" s="83">
        <v>41628</v>
      </c>
      <c r="D52" s="61" t="s">
        <v>101</v>
      </c>
      <c r="E52" s="65" t="s">
        <v>71</v>
      </c>
      <c r="F52" s="63">
        <v>7227.14</v>
      </c>
      <c r="G52" s="63">
        <v>60.35</v>
      </c>
      <c r="H52" s="63">
        <v>273.22000000000003</v>
      </c>
      <c r="I52" s="63">
        <v>54146.02</v>
      </c>
      <c r="J52" s="63">
        <v>123.15</v>
      </c>
      <c r="K52" s="63">
        <v>277.18</v>
      </c>
    </row>
    <row r="53" spans="1:11" ht="25.5">
      <c r="A53" s="59">
        <v>15</v>
      </c>
      <c r="B53" s="60" t="s">
        <v>447</v>
      </c>
      <c r="C53" s="83">
        <v>41628</v>
      </c>
      <c r="D53" s="61" t="s">
        <v>101</v>
      </c>
      <c r="E53" s="65" t="s">
        <v>72</v>
      </c>
      <c r="F53" s="63">
        <v>21782.32</v>
      </c>
      <c r="G53" s="63">
        <v>83.4</v>
      </c>
      <c r="H53" s="63">
        <v>319.73</v>
      </c>
      <c r="I53" s="63">
        <v>23442.3</v>
      </c>
      <c r="J53" s="63">
        <v>111.16</v>
      </c>
      <c r="K53" s="63">
        <v>334.94</v>
      </c>
    </row>
    <row r="54" spans="1:11" ht="25.5">
      <c r="A54" s="59">
        <v>16</v>
      </c>
      <c r="B54" s="60" t="s">
        <v>446</v>
      </c>
      <c r="C54" s="83">
        <v>41628</v>
      </c>
      <c r="D54" s="61" t="s">
        <v>101</v>
      </c>
      <c r="E54" s="65" t="s">
        <v>93</v>
      </c>
      <c r="F54" s="63">
        <v>73100.570000000007</v>
      </c>
      <c r="G54" s="63">
        <v>106.82</v>
      </c>
      <c r="H54" s="63">
        <v>522.96</v>
      </c>
      <c r="I54" s="63">
        <v>73100.570000000007</v>
      </c>
      <c r="J54" s="63">
        <v>106.82</v>
      </c>
      <c r="K54" s="63">
        <v>522.96</v>
      </c>
    </row>
    <row r="55" spans="1:11" ht="25.5">
      <c r="A55" s="59">
        <v>17</v>
      </c>
      <c r="B55" s="60" t="s">
        <v>447</v>
      </c>
      <c r="C55" s="83">
        <v>41628</v>
      </c>
      <c r="D55" s="61" t="s">
        <v>101</v>
      </c>
      <c r="E55" s="65" t="s">
        <v>73</v>
      </c>
      <c r="F55" s="63">
        <v>14031.99</v>
      </c>
      <c r="G55" s="63">
        <v>74.19</v>
      </c>
      <c r="H55" s="63">
        <v>383.22</v>
      </c>
      <c r="I55" s="63">
        <v>45833.760000000002</v>
      </c>
      <c r="J55" s="63">
        <v>136.53</v>
      </c>
      <c r="K55" s="63">
        <v>385.13</v>
      </c>
    </row>
    <row r="56" spans="1:11" ht="25.5">
      <c r="A56" s="59">
        <v>18</v>
      </c>
      <c r="B56" s="60" t="s">
        <v>447</v>
      </c>
      <c r="C56" s="83">
        <v>41628</v>
      </c>
      <c r="D56" s="61" t="s">
        <v>101</v>
      </c>
      <c r="E56" s="65" t="s">
        <v>74</v>
      </c>
      <c r="F56" s="63">
        <v>59891.360000000001</v>
      </c>
      <c r="G56" s="63">
        <v>82.84</v>
      </c>
      <c r="H56" s="63">
        <v>756.5</v>
      </c>
      <c r="I56" s="63">
        <v>47057.79</v>
      </c>
      <c r="J56" s="63">
        <v>138.38</v>
      </c>
      <c r="K56" s="63">
        <v>228.15</v>
      </c>
    </row>
    <row r="57" spans="1:11" ht="25.5">
      <c r="A57" s="59">
        <v>19</v>
      </c>
      <c r="B57" s="60" t="s">
        <v>447</v>
      </c>
      <c r="C57" s="83">
        <v>41628</v>
      </c>
      <c r="D57" s="61" t="s">
        <v>101</v>
      </c>
      <c r="E57" s="65" t="s">
        <v>75</v>
      </c>
      <c r="F57" s="63">
        <v>320137.32</v>
      </c>
      <c r="G57" s="63">
        <v>39.11</v>
      </c>
      <c r="H57" s="63">
        <v>126.12</v>
      </c>
      <c r="I57" s="63">
        <v>295857.93</v>
      </c>
      <c r="J57" s="63">
        <v>65.84</v>
      </c>
      <c r="K57" s="63">
        <v>223.97</v>
      </c>
    </row>
    <row r="58" spans="1:11" ht="25.5">
      <c r="A58" s="59">
        <v>20</v>
      </c>
      <c r="B58" s="60" t="s">
        <v>447</v>
      </c>
      <c r="C58" s="83">
        <v>41628</v>
      </c>
      <c r="D58" s="61" t="s">
        <v>101</v>
      </c>
      <c r="E58" s="65" t="s">
        <v>76</v>
      </c>
      <c r="F58" s="63">
        <v>76946.350000000006</v>
      </c>
      <c r="G58" s="63">
        <v>88.56</v>
      </c>
      <c r="H58" s="63">
        <v>341.86</v>
      </c>
      <c r="I58" s="63">
        <v>48934.18</v>
      </c>
      <c r="J58" s="63">
        <v>131.06</v>
      </c>
      <c r="K58" s="63">
        <v>428.01</v>
      </c>
    </row>
    <row r="59" spans="1:11" ht="25.5">
      <c r="A59" s="59">
        <v>21</v>
      </c>
      <c r="B59" s="60" t="s">
        <v>447</v>
      </c>
      <c r="C59" s="83">
        <v>41628</v>
      </c>
      <c r="D59" s="61" t="s">
        <v>101</v>
      </c>
      <c r="E59" s="65" t="s">
        <v>77</v>
      </c>
      <c r="F59" s="63">
        <v>30585.05</v>
      </c>
      <c r="G59" s="63">
        <v>77.45</v>
      </c>
      <c r="H59" s="63">
        <v>481.71</v>
      </c>
      <c r="I59" s="63">
        <v>29720.61</v>
      </c>
      <c r="J59" s="63">
        <v>124.3</v>
      </c>
      <c r="K59" s="63">
        <v>948.62</v>
      </c>
    </row>
    <row r="60" spans="1:11" ht="25.5">
      <c r="A60" s="59">
        <v>22</v>
      </c>
      <c r="B60" s="60" t="s">
        <v>447</v>
      </c>
      <c r="C60" s="83">
        <v>41628</v>
      </c>
      <c r="D60" s="61" t="s">
        <v>101</v>
      </c>
      <c r="E60" s="65" t="s">
        <v>78</v>
      </c>
      <c r="F60" s="63">
        <v>123273.58</v>
      </c>
      <c r="G60" s="63">
        <v>76.19</v>
      </c>
      <c r="H60" s="63">
        <v>1048.98</v>
      </c>
      <c r="I60" s="63">
        <v>137091.72</v>
      </c>
      <c r="J60" s="63">
        <v>112.16</v>
      </c>
      <c r="K60" s="63">
        <v>583.83000000000004</v>
      </c>
    </row>
    <row r="61" spans="1:11" ht="25.5">
      <c r="A61" s="59">
        <v>23</v>
      </c>
      <c r="B61" s="60" t="s">
        <v>447</v>
      </c>
      <c r="C61" s="83">
        <v>41628</v>
      </c>
      <c r="D61" s="61" t="s">
        <v>101</v>
      </c>
      <c r="E61" s="65" t="s">
        <v>79</v>
      </c>
      <c r="F61" s="63">
        <v>8573.7000000000007</v>
      </c>
      <c r="G61" s="63">
        <v>83.04</v>
      </c>
      <c r="H61" s="63">
        <v>706.14</v>
      </c>
      <c r="I61" s="63">
        <v>32664.02</v>
      </c>
      <c r="J61" s="63">
        <v>133.44999999999999</v>
      </c>
      <c r="K61" s="63">
        <v>1070.9100000000001</v>
      </c>
    </row>
    <row r="62" spans="1:11" ht="25.5">
      <c r="A62" s="59">
        <v>24</v>
      </c>
      <c r="B62" s="60" t="s">
        <v>447</v>
      </c>
      <c r="C62" s="83">
        <v>41628</v>
      </c>
      <c r="D62" s="61" t="s">
        <v>101</v>
      </c>
      <c r="E62" s="65" t="s">
        <v>80</v>
      </c>
      <c r="F62" s="63">
        <v>53894.49</v>
      </c>
      <c r="G62" s="63">
        <v>71.989999999999995</v>
      </c>
      <c r="H62" s="63">
        <v>388.68</v>
      </c>
      <c r="I62" s="63">
        <v>26078.36</v>
      </c>
      <c r="J62" s="63">
        <v>157.72999999999999</v>
      </c>
      <c r="K62" s="63">
        <v>392.21</v>
      </c>
    </row>
    <row r="63" spans="1:11" ht="25.5">
      <c r="A63" s="59">
        <v>25</v>
      </c>
      <c r="B63" s="60" t="s">
        <v>447</v>
      </c>
      <c r="C63" s="83">
        <v>41628</v>
      </c>
      <c r="D63" s="61" t="s">
        <v>101</v>
      </c>
      <c r="E63" s="65" t="s">
        <v>81</v>
      </c>
      <c r="F63" s="63">
        <v>52283.07</v>
      </c>
      <c r="G63" s="63">
        <v>59.2</v>
      </c>
      <c r="H63" s="63">
        <v>982.19</v>
      </c>
      <c r="I63" s="63">
        <v>54876.23</v>
      </c>
      <c r="J63" s="63">
        <v>88.82</v>
      </c>
      <c r="K63" s="63">
        <v>577.59</v>
      </c>
    </row>
    <row r="64" spans="1:11" ht="25.5">
      <c r="A64" s="59">
        <v>26</v>
      </c>
      <c r="B64" s="60" t="s">
        <v>447</v>
      </c>
      <c r="C64" s="83">
        <v>41628</v>
      </c>
      <c r="D64" s="61" t="s">
        <v>101</v>
      </c>
      <c r="E64" s="65" t="s">
        <v>82</v>
      </c>
      <c r="F64" s="63">
        <v>47260.71</v>
      </c>
      <c r="G64" s="63">
        <v>75.5</v>
      </c>
      <c r="H64" s="63">
        <v>1097.6300000000001</v>
      </c>
      <c r="I64" s="63">
        <v>49992.86</v>
      </c>
      <c r="J64" s="63">
        <v>120.26</v>
      </c>
      <c r="K64" s="63">
        <v>804.36</v>
      </c>
    </row>
    <row r="65" spans="1:11" ht="25.5">
      <c r="A65" s="59">
        <v>27</v>
      </c>
      <c r="B65" s="60" t="s">
        <v>447</v>
      </c>
      <c r="C65" s="83">
        <v>41628</v>
      </c>
      <c r="D65" s="61" t="s">
        <v>101</v>
      </c>
      <c r="E65" s="65" t="s">
        <v>83</v>
      </c>
      <c r="F65" s="63">
        <v>462376.76</v>
      </c>
      <c r="G65" s="63">
        <v>144.49</v>
      </c>
      <c r="H65" s="63">
        <v>959.44</v>
      </c>
      <c r="I65" s="63">
        <v>211891.04</v>
      </c>
      <c r="J65" s="63">
        <v>230.76</v>
      </c>
      <c r="K65" s="63">
        <v>1124.71</v>
      </c>
    </row>
    <row r="66" spans="1:11" ht="25.5">
      <c r="A66" s="59">
        <v>28</v>
      </c>
      <c r="B66" s="60" t="s">
        <v>447</v>
      </c>
      <c r="C66" s="83">
        <v>41628</v>
      </c>
      <c r="D66" s="61" t="s">
        <v>101</v>
      </c>
      <c r="E66" s="65" t="s">
        <v>85</v>
      </c>
      <c r="F66" s="63">
        <v>13773.28</v>
      </c>
      <c r="G66" s="63">
        <v>76.61</v>
      </c>
      <c r="H66" s="63">
        <v>174.19</v>
      </c>
      <c r="I66" s="63">
        <v>14567.82</v>
      </c>
      <c r="J66" s="63">
        <v>115.68</v>
      </c>
      <c r="K66" s="63">
        <v>207.32</v>
      </c>
    </row>
    <row r="67" spans="1:11" ht="25.5">
      <c r="A67" s="59">
        <v>29</v>
      </c>
      <c r="B67" s="60" t="s">
        <v>447</v>
      </c>
      <c r="C67" s="83">
        <v>41628</v>
      </c>
      <c r="D67" s="61" t="s">
        <v>101</v>
      </c>
      <c r="E67" s="65" t="s">
        <v>84</v>
      </c>
      <c r="F67" s="63">
        <v>755673.79</v>
      </c>
      <c r="G67" s="63">
        <v>77.7</v>
      </c>
      <c r="H67" s="63">
        <v>963.38</v>
      </c>
      <c r="I67" s="63">
        <v>765663.09</v>
      </c>
      <c r="J67" s="63">
        <v>224.04</v>
      </c>
      <c r="K67" s="63">
        <v>2598.37</v>
      </c>
    </row>
    <row r="68" spans="1:11" ht="25.5">
      <c r="A68" s="59">
        <v>30</v>
      </c>
      <c r="B68" s="60" t="s">
        <v>447</v>
      </c>
      <c r="C68" s="83">
        <v>41628</v>
      </c>
      <c r="D68" s="61" t="s">
        <v>101</v>
      </c>
      <c r="E68" s="65" t="s">
        <v>86</v>
      </c>
      <c r="F68" s="63">
        <v>108297.72</v>
      </c>
      <c r="G68" s="63">
        <v>78.31</v>
      </c>
      <c r="H68" s="63">
        <v>246.02</v>
      </c>
      <c r="I68" s="63">
        <v>95783.75</v>
      </c>
      <c r="J68" s="63">
        <v>133.75</v>
      </c>
      <c r="K68" s="63">
        <v>507.44</v>
      </c>
    </row>
    <row r="69" spans="1:11" ht="25.5">
      <c r="A69" s="59">
        <v>31</v>
      </c>
      <c r="B69" s="60" t="s">
        <v>447</v>
      </c>
      <c r="C69" s="83">
        <v>41628</v>
      </c>
      <c r="D69" s="61" t="s">
        <v>101</v>
      </c>
      <c r="E69" s="65" t="s">
        <v>87</v>
      </c>
      <c r="F69" s="63">
        <v>1038260.6</v>
      </c>
      <c r="G69" s="63">
        <v>77.36</v>
      </c>
      <c r="H69" s="63">
        <v>974.97</v>
      </c>
      <c r="I69" s="63">
        <v>363583.6</v>
      </c>
      <c r="J69" s="63">
        <v>124.67</v>
      </c>
      <c r="K69" s="63">
        <v>994.1</v>
      </c>
    </row>
    <row r="70" spans="1:11" ht="25.5">
      <c r="A70" s="59">
        <v>32</v>
      </c>
      <c r="B70" s="60" t="s">
        <v>447</v>
      </c>
      <c r="C70" s="83">
        <v>41628</v>
      </c>
      <c r="D70" s="61" t="s">
        <v>101</v>
      </c>
      <c r="E70" s="65" t="s">
        <v>90</v>
      </c>
      <c r="F70" s="63">
        <v>5707.46</v>
      </c>
      <c r="G70" s="63">
        <v>87.82</v>
      </c>
      <c r="H70" s="63">
        <v>100.84</v>
      </c>
      <c r="I70" s="63">
        <v>13476.27</v>
      </c>
      <c r="J70" s="63">
        <v>114.3</v>
      </c>
      <c r="K70" s="63">
        <v>143.29</v>
      </c>
    </row>
    <row r="71" spans="1:11" ht="25.5">
      <c r="A71" s="59">
        <v>33</v>
      </c>
      <c r="B71" s="60" t="s">
        <v>447</v>
      </c>
      <c r="C71" s="83">
        <v>41628</v>
      </c>
      <c r="D71" s="61" t="s">
        <v>101</v>
      </c>
      <c r="E71" s="65" t="s">
        <v>88</v>
      </c>
      <c r="F71" s="63">
        <v>56387.13</v>
      </c>
      <c r="G71" s="63">
        <v>56.54</v>
      </c>
      <c r="H71" s="63">
        <v>257.97000000000003</v>
      </c>
      <c r="I71" s="63">
        <v>56533.63</v>
      </c>
      <c r="J71" s="63">
        <v>145.58000000000001</v>
      </c>
      <c r="K71" s="63">
        <v>300.92</v>
      </c>
    </row>
    <row r="72" spans="1:11" ht="25.5">
      <c r="A72" s="59">
        <v>34</v>
      </c>
      <c r="B72" s="60" t="s">
        <v>447</v>
      </c>
      <c r="C72" s="83">
        <v>41628</v>
      </c>
      <c r="D72" s="61" t="s">
        <v>101</v>
      </c>
      <c r="E72" s="65" t="s">
        <v>89</v>
      </c>
      <c r="F72" s="63">
        <v>23668.83</v>
      </c>
      <c r="G72" s="63">
        <v>67.03</v>
      </c>
      <c r="H72" s="63">
        <v>111.64</v>
      </c>
      <c r="I72" s="63">
        <v>8942.8700000000008</v>
      </c>
      <c r="J72" s="63">
        <v>148.83000000000001</v>
      </c>
      <c r="K72" s="63">
        <v>186.61</v>
      </c>
    </row>
    <row r="73" spans="1:11" ht="25.5">
      <c r="A73" s="59">
        <v>35</v>
      </c>
      <c r="B73" s="60" t="s">
        <v>447</v>
      </c>
      <c r="C73" s="83">
        <v>41628</v>
      </c>
      <c r="D73" s="61" t="s">
        <v>101</v>
      </c>
      <c r="E73" s="65" t="s">
        <v>91</v>
      </c>
      <c r="F73" s="63">
        <v>55936.83</v>
      </c>
      <c r="G73" s="63">
        <v>77.83</v>
      </c>
      <c r="H73" s="63">
        <v>746.82</v>
      </c>
      <c r="I73" s="63">
        <v>50268.81</v>
      </c>
      <c r="J73" s="63">
        <v>123.85</v>
      </c>
      <c r="K73" s="63">
        <v>747.73</v>
      </c>
    </row>
    <row r="74" spans="1:11" ht="25.5">
      <c r="A74" s="59">
        <v>36</v>
      </c>
      <c r="B74" s="60" t="s">
        <v>447</v>
      </c>
      <c r="C74" s="83">
        <v>41628</v>
      </c>
      <c r="D74" s="61" t="s">
        <v>101</v>
      </c>
      <c r="E74" s="65" t="s">
        <v>98</v>
      </c>
      <c r="F74" s="63">
        <v>113008.81</v>
      </c>
      <c r="G74" s="63">
        <v>49.58</v>
      </c>
      <c r="H74" s="63">
        <v>360.58</v>
      </c>
      <c r="I74" s="63">
        <v>77581.210000000006</v>
      </c>
      <c r="J74" s="63">
        <v>136.86000000000001</v>
      </c>
      <c r="K74" s="63">
        <v>366.16</v>
      </c>
    </row>
    <row r="75" spans="1:11" ht="25.5">
      <c r="A75" s="59">
        <v>37</v>
      </c>
      <c r="B75" s="60" t="s">
        <v>447</v>
      </c>
      <c r="C75" s="83">
        <v>41628</v>
      </c>
      <c r="D75" s="61" t="s">
        <v>101</v>
      </c>
      <c r="E75" s="65" t="s">
        <v>92</v>
      </c>
      <c r="F75" s="63">
        <v>141863.54</v>
      </c>
      <c r="G75" s="63">
        <v>176.79</v>
      </c>
      <c r="H75" s="63">
        <v>1626.58</v>
      </c>
      <c r="I75" s="63">
        <v>620248.87</v>
      </c>
      <c r="J75" s="63">
        <v>437.51</v>
      </c>
      <c r="K75" s="63">
        <v>1001.01</v>
      </c>
    </row>
    <row r="76" spans="1:11" ht="25.5">
      <c r="A76" s="59">
        <v>38</v>
      </c>
      <c r="B76" s="60" t="s">
        <v>447</v>
      </c>
      <c r="C76" s="83">
        <v>41628</v>
      </c>
      <c r="D76" s="61" t="s">
        <v>101</v>
      </c>
      <c r="E76" s="65" t="s">
        <v>100</v>
      </c>
      <c r="F76" s="63">
        <v>1112797.27</v>
      </c>
      <c r="G76" s="63">
        <v>69.05</v>
      </c>
      <c r="H76" s="63">
        <v>10307.86</v>
      </c>
      <c r="I76" s="63">
        <v>95808.8</v>
      </c>
      <c r="J76" s="63">
        <v>122.88</v>
      </c>
      <c r="K76" s="63">
        <v>31972.560000000001</v>
      </c>
    </row>
    <row r="77" spans="1:11" ht="25.5">
      <c r="A77" s="59">
        <v>39</v>
      </c>
      <c r="B77" s="60" t="s">
        <v>447</v>
      </c>
      <c r="C77" s="83">
        <v>41628</v>
      </c>
      <c r="D77" s="61" t="s">
        <v>101</v>
      </c>
      <c r="E77" s="65" t="s">
        <v>99</v>
      </c>
      <c r="F77" s="63">
        <v>21136.1</v>
      </c>
      <c r="G77" s="63">
        <v>177.55</v>
      </c>
      <c r="H77" s="63">
        <v>333.14</v>
      </c>
      <c r="I77" s="63">
        <v>19357.68</v>
      </c>
      <c r="J77" s="63">
        <v>3.11</v>
      </c>
      <c r="K77" s="63">
        <v>205.71</v>
      </c>
    </row>
    <row r="78" spans="1:11" ht="25.5">
      <c r="A78" s="59">
        <v>40</v>
      </c>
      <c r="B78" s="60" t="s">
        <v>446</v>
      </c>
      <c r="C78" s="83">
        <v>41628</v>
      </c>
      <c r="D78" s="61" t="s">
        <v>101</v>
      </c>
      <c r="E78" s="65" t="s">
        <v>97</v>
      </c>
      <c r="F78" s="63">
        <v>390353.35</v>
      </c>
      <c r="G78" s="63">
        <v>93.51</v>
      </c>
      <c r="H78" s="63">
        <v>2775.65</v>
      </c>
      <c r="I78" s="63">
        <v>326485.55</v>
      </c>
      <c r="J78" s="63">
        <v>110.56</v>
      </c>
      <c r="K78" s="63">
        <v>2700</v>
      </c>
    </row>
    <row r="79" spans="1:11" ht="25.5">
      <c r="A79" s="59">
        <v>41</v>
      </c>
      <c r="B79" s="60" t="s">
        <v>448</v>
      </c>
      <c r="C79" s="75"/>
      <c r="D79" s="61" t="s">
        <v>101</v>
      </c>
      <c r="E79" s="65" t="s">
        <v>96</v>
      </c>
      <c r="F79" s="63">
        <v>122320.33</v>
      </c>
      <c r="G79" s="63">
        <v>87.82</v>
      </c>
      <c r="H79" s="63">
        <v>1064.75</v>
      </c>
      <c r="I79" s="63">
        <v>122320.33</v>
      </c>
      <c r="J79" s="63">
        <v>87.82</v>
      </c>
      <c r="K79" s="63">
        <v>1064.75</v>
      </c>
    </row>
    <row r="80" spans="1:11" ht="13.5" customHeight="1">
      <c r="A80" s="59">
        <v>42</v>
      </c>
      <c r="B80" s="60" t="s">
        <v>449</v>
      </c>
      <c r="C80" s="76"/>
      <c r="D80" s="61" t="s">
        <v>101</v>
      </c>
      <c r="E80" s="67" t="s">
        <v>95</v>
      </c>
      <c r="F80" s="63">
        <v>533587.87</v>
      </c>
      <c r="G80" s="63">
        <v>100</v>
      </c>
      <c r="H80" s="63">
        <v>1219.6400000000001</v>
      </c>
      <c r="I80" s="63">
        <v>533587.87</v>
      </c>
      <c r="J80" s="63">
        <v>100</v>
      </c>
      <c r="K80" s="63">
        <v>1219.6400000000001</v>
      </c>
    </row>
    <row r="81" spans="1:11">
      <c r="A81" s="95" t="s">
        <v>102</v>
      </c>
      <c r="B81" s="96"/>
      <c r="C81" s="96"/>
      <c r="D81" s="96"/>
      <c r="E81" s="96"/>
      <c r="F81" s="96"/>
      <c r="G81" s="96"/>
      <c r="H81" s="96"/>
      <c r="I81" s="96"/>
      <c r="J81" s="96"/>
      <c r="K81" s="97"/>
    </row>
    <row r="82" spans="1:11" ht="38.25">
      <c r="A82" s="59">
        <v>1</v>
      </c>
      <c r="B82" s="60" t="s">
        <v>180</v>
      </c>
      <c r="C82" s="83">
        <v>41636</v>
      </c>
      <c r="D82" s="61" t="s">
        <v>104</v>
      </c>
      <c r="E82" s="65" t="s">
        <v>103</v>
      </c>
      <c r="F82" s="63">
        <v>182323.71</v>
      </c>
      <c r="G82" s="63">
        <v>343.53</v>
      </c>
      <c r="H82" s="63">
        <v>729.62</v>
      </c>
      <c r="I82" s="63">
        <v>182323.71</v>
      </c>
      <c r="J82" s="63">
        <v>343.53</v>
      </c>
      <c r="K82" s="63">
        <v>729.62</v>
      </c>
    </row>
    <row r="83" spans="1:11" ht="38.25">
      <c r="A83" s="59">
        <v>2</v>
      </c>
      <c r="B83" s="60" t="s">
        <v>181</v>
      </c>
      <c r="C83" s="83">
        <v>41636</v>
      </c>
      <c r="D83" s="61" t="s">
        <v>104</v>
      </c>
      <c r="E83" s="65" t="s">
        <v>106</v>
      </c>
      <c r="F83" s="63">
        <v>471634.36</v>
      </c>
      <c r="G83" s="63">
        <v>416.63</v>
      </c>
      <c r="H83" s="63">
        <v>1183.27</v>
      </c>
      <c r="I83" s="63">
        <v>471634.36</v>
      </c>
      <c r="J83" s="63">
        <v>416.63</v>
      </c>
      <c r="K83" s="63">
        <v>1183.27</v>
      </c>
    </row>
    <row r="84" spans="1:11" ht="38.25">
      <c r="A84" s="59">
        <v>3</v>
      </c>
      <c r="B84" s="60" t="s">
        <v>181</v>
      </c>
      <c r="C84" s="83">
        <v>41636</v>
      </c>
      <c r="D84" s="61" t="s">
        <v>104</v>
      </c>
      <c r="E84" s="65" t="s">
        <v>107</v>
      </c>
      <c r="F84" s="63">
        <v>250149.67</v>
      </c>
      <c r="G84" s="63">
        <v>335.54</v>
      </c>
      <c r="H84" s="63">
        <v>864.52</v>
      </c>
      <c r="I84" s="63">
        <v>250149.67</v>
      </c>
      <c r="J84" s="63">
        <v>335.54</v>
      </c>
      <c r="K84" s="63">
        <v>864.52</v>
      </c>
    </row>
    <row r="85" spans="1:11" ht="38.25">
      <c r="A85" s="59">
        <v>4</v>
      </c>
      <c r="B85" s="60" t="s">
        <v>180</v>
      </c>
      <c r="C85" s="83">
        <v>41636</v>
      </c>
      <c r="D85" s="61" t="s">
        <v>104</v>
      </c>
      <c r="E85" s="65" t="s">
        <v>108</v>
      </c>
      <c r="F85" s="63">
        <v>159432.6</v>
      </c>
      <c r="G85" s="63">
        <v>373.46</v>
      </c>
      <c r="H85" s="63">
        <v>722.19</v>
      </c>
      <c r="I85" s="63">
        <v>159432.6</v>
      </c>
      <c r="J85" s="63">
        <v>373.46</v>
      </c>
      <c r="K85" s="63">
        <v>722.19</v>
      </c>
    </row>
    <row r="86" spans="1:11" ht="38.25">
      <c r="A86" s="59">
        <v>5</v>
      </c>
      <c r="B86" s="60" t="s">
        <v>181</v>
      </c>
      <c r="C86" s="83">
        <v>41636</v>
      </c>
      <c r="D86" s="61" t="s">
        <v>104</v>
      </c>
      <c r="E86" s="65" t="s">
        <v>109</v>
      </c>
      <c r="F86" s="63">
        <v>195540.84</v>
      </c>
      <c r="G86" s="63">
        <v>231.59</v>
      </c>
      <c r="H86" s="63">
        <v>665.11</v>
      </c>
      <c r="I86" s="63">
        <v>195540.84</v>
      </c>
      <c r="J86" s="63">
        <v>231.59</v>
      </c>
      <c r="K86" s="63">
        <v>665.11</v>
      </c>
    </row>
    <row r="87" spans="1:11" ht="38.25">
      <c r="A87" s="59">
        <v>6</v>
      </c>
      <c r="B87" s="60" t="s">
        <v>181</v>
      </c>
      <c r="C87" s="83">
        <v>41636</v>
      </c>
      <c r="D87" s="61" t="s">
        <v>104</v>
      </c>
      <c r="E87" s="65" t="s">
        <v>110</v>
      </c>
      <c r="F87" s="63">
        <v>206883.23</v>
      </c>
      <c r="G87" s="63">
        <v>301.64</v>
      </c>
      <c r="H87" s="63">
        <v>681.76</v>
      </c>
      <c r="I87" s="63">
        <v>206883.23</v>
      </c>
      <c r="J87" s="63">
        <v>301.64</v>
      </c>
      <c r="K87" s="63">
        <v>681.76</v>
      </c>
    </row>
    <row r="88" spans="1:11" ht="38.25">
      <c r="A88" s="59">
        <v>7</v>
      </c>
      <c r="B88" s="60" t="s">
        <v>180</v>
      </c>
      <c r="C88" s="83">
        <v>41636</v>
      </c>
      <c r="D88" s="61" t="s">
        <v>104</v>
      </c>
      <c r="E88" s="65" t="s">
        <v>111</v>
      </c>
      <c r="F88" s="63">
        <v>348004.1</v>
      </c>
      <c r="G88" s="63">
        <v>471.12</v>
      </c>
      <c r="H88" s="63">
        <v>1181.6600000000001</v>
      </c>
      <c r="I88" s="63">
        <v>348004.1</v>
      </c>
      <c r="J88" s="63">
        <v>471.12</v>
      </c>
      <c r="K88" s="63">
        <v>1181.6600000000001</v>
      </c>
    </row>
    <row r="89" spans="1:11" ht="38.25">
      <c r="A89" s="59">
        <v>8</v>
      </c>
      <c r="B89" s="60" t="s">
        <v>180</v>
      </c>
      <c r="C89" s="83">
        <v>41636</v>
      </c>
      <c r="D89" s="61" t="s">
        <v>104</v>
      </c>
      <c r="E89" s="65" t="s">
        <v>112</v>
      </c>
      <c r="F89" s="63">
        <v>201126.3</v>
      </c>
      <c r="G89" s="63">
        <v>437.79</v>
      </c>
      <c r="H89" s="63">
        <v>874.03</v>
      </c>
      <c r="I89" s="63">
        <v>201126.3</v>
      </c>
      <c r="J89" s="63">
        <v>437.79</v>
      </c>
      <c r="K89" s="63">
        <v>874.03</v>
      </c>
    </row>
    <row r="90" spans="1:11" ht="38.25">
      <c r="A90" s="59">
        <v>9</v>
      </c>
      <c r="B90" s="60" t="s">
        <v>181</v>
      </c>
      <c r="C90" s="83">
        <v>41636</v>
      </c>
      <c r="D90" s="61" t="s">
        <v>104</v>
      </c>
      <c r="E90" s="65" t="s">
        <v>113</v>
      </c>
      <c r="F90" s="63">
        <v>82463.16</v>
      </c>
      <c r="G90" s="63">
        <v>57.59</v>
      </c>
      <c r="H90" s="63">
        <v>241.1</v>
      </c>
      <c r="I90" s="63">
        <v>82463.16</v>
      </c>
      <c r="J90" s="63">
        <v>57.59</v>
      </c>
      <c r="K90" s="63">
        <v>241.1</v>
      </c>
    </row>
    <row r="91" spans="1:11" ht="38.25">
      <c r="A91" s="59">
        <v>10</v>
      </c>
      <c r="B91" s="60" t="s">
        <v>180</v>
      </c>
      <c r="C91" s="83">
        <v>41636</v>
      </c>
      <c r="D91" s="61" t="s">
        <v>104</v>
      </c>
      <c r="E91" s="65" t="s">
        <v>115</v>
      </c>
      <c r="F91" s="63">
        <v>226923.15</v>
      </c>
      <c r="G91" s="63">
        <v>329.44</v>
      </c>
      <c r="H91" s="63">
        <v>767.25</v>
      </c>
      <c r="I91" s="63">
        <v>226923.15</v>
      </c>
      <c r="J91" s="63">
        <v>329.44</v>
      </c>
      <c r="K91" s="63">
        <v>767.25</v>
      </c>
    </row>
    <row r="92" spans="1:11" ht="38.25">
      <c r="A92" s="59">
        <v>11</v>
      </c>
      <c r="B92" s="60" t="s">
        <v>180</v>
      </c>
      <c r="C92" s="83">
        <v>41636</v>
      </c>
      <c r="D92" s="61" t="s">
        <v>104</v>
      </c>
      <c r="E92" s="65" t="s">
        <v>114</v>
      </c>
      <c r="F92" s="63">
        <v>209383.46</v>
      </c>
      <c r="G92" s="63">
        <v>421.81</v>
      </c>
      <c r="H92" s="63">
        <v>1050.8800000000001</v>
      </c>
      <c r="I92" s="63">
        <v>209383.47</v>
      </c>
      <c r="J92" s="63">
        <v>421.81</v>
      </c>
      <c r="K92" s="63">
        <v>1050.8800000000001</v>
      </c>
    </row>
    <row r="93" spans="1:11" ht="38.25">
      <c r="A93" s="59">
        <v>12</v>
      </c>
      <c r="B93" s="60" t="s">
        <v>180</v>
      </c>
      <c r="C93" s="83">
        <v>41636</v>
      </c>
      <c r="D93" s="61" t="s">
        <v>104</v>
      </c>
      <c r="E93" s="65" t="s">
        <v>517</v>
      </c>
      <c r="F93" s="63">
        <v>294765.09000000003</v>
      </c>
      <c r="G93" s="63">
        <v>251.69</v>
      </c>
      <c r="H93" s="63">
        <v>745.36</v>
      </c>
      <c r="I93" s="63">
        <v>294765.09000000003</v>
      </c>
      <c r="J93" s="63">
        <v>251.69</v>
      </c>
      <c r="K93" s="63">
        <v>745.36</v>
      </c>
    </row>
    <row r="94" spans="1:11" ht="38.25">
      <c r="A94" s="59">
        <v>13</v>
      </c>
      <c r="B94" s="60" t="s">
        <v>180</v>
      </c>
      <c r="C94" s="83">
        <v>41636</v>
      </c>
      <c r="D94" s="61" t="s">
        <v>104</v>
      </c>
      <c r="E94" s="65" t="s">
        <v>116</v>
      </c>
      <c r="F94" s="63">
        <v>171909.09</v>
      </c>
      <c r="G94" s="63">
        <v>89.3</v>
      </c>
      <c r="H94" s="63">
        <v>329.18</v>
      </c>
      <c r="I94" s="63">
        <v>171909.09</v>
      </c>
      <c r="J94" s="63">
        <v>89.3</v>
      </c>
      <c r="K94" s="63">
        <v>329.18</v>
      </c>
    </row>
    <row r="95" spans="1:11" ht="38.25">
      <c r="A95" s="59">
        <v>14</v>
      </c>
      <c r="B95" s="60" t="s">
        <v>180</v>
      </c>
      <c r="C95" s="83">
        <v>41636</v>
      </c>
      <c r="D95" s="61" t="s">
        <v>104</v>
      </c>
      <c r="E95" s="65" t="s">
        <v>117</v>
      </c>
      <c r="F95" s="63">
        <v>97346.12</v>
      </c>
      <c r="G95" s="63">
        <v>22.03</v>
      </c>
      <c r="H95" s="63">
        <v>233.83</v>
      </c>
      <c r="I95" s="63">
        <v>97346.12</v>
      </c>
      <c r="J95" s="63">
        <v>22.03</v>
      </c>
      <c r="K95" s="63">
        <v>233.83</v>
      </c>
    </row>
    <row r="96" spans="1:11" ht="38.25">
      <c r="A96" s="59">
        <v>15</v>
      </c>
      <c r="B96" s="60" t="s">
        <v>180</v>
      </c>
      <c r="C96" s="83">
        <v>41636</v>
      </c>
      <c r="D96" s="61" t="s">
        <v>104</v>
      </c>
      <c r="E96" s="65" t="s">
        <v>71</v>
      </c>
      <c r="F96" s="63">
        <v>22670.880000000001</v>
      </c>
      <c r="G96" s="63">
        <v>19.3</v>
      </c>
      <c r="H96" s="63">
        <v>51.16</v>
      </c>
      <c r="I96" s="63">
        <v>22670.880000000001</v>
      </c>
      <c r="J96" s="63">
        <v>19.3</v>
      </c>
      <c r="K96" s="63">
        <v>51.16</v>
      </c>
    </row>
    <row r="97" spans="1:11" ht="38.25">
      <c r="A97" s="59">
        <v>16</v>
      </c>
      <c r="B97" s="60" t="s">
        <v>180</v>
      </c>
      <c r="C97" s="83">
        <v>41636</v>
      </c>
      <c r="D97" s="61" t="s">
        <v>104</v>
      </c>
      <c r="E97" s="65" t="s">
        <v>118</v>
      </c>
      <c r="F97" s="63">
        <v>44825.06</v>
      </c>
      <c r="G97" s="63">
        <v>56.18</v>
      </c>
      <c r="H97" s="63">
        <v>121.3</v>
      </c>
      <c r="I97" s="63">
        <v>44825.04</v>
      </c>
      <c r="J97" s="63">
        <v>56.18</v>
      </c>
      <c r="K97" s="63">
        <v>121.3</v>
      </c>
    </row>
    <row r="98" spans="1:11" ht="25.5">
      <c r="A98" s="59">
        <v>17</v>
      </c>
      <c r="B98" s="60" t="s">
        <v>11</v>
      </c>
      <c r="C98" s="83">
        <v>41636</v>
      </c>
      <c r="D98" s="61" t="s">
        <v>104</v>
      </c>
      <c r="E98" s="65" t="s">
        <v>119</v>
      </c>
      <c r="F98" s="63">
        <v>35160.339999999997</v>
      </c>
      <c r="G98" s="63">
        <v>84.95</v>
      </c>
      <c r="H98" s="63">
        <v>258.23</v>
      </c>
      <c r="I98" s="63">
        <v>35160.339999999997</v>
      </c>
      <c r="J98" s="63">
        <v>84.95</v>
      </c>
      <c r="K98" s="63">
        <v>258.23</v>
      </c>
    </row>
    <row r="99" spans="1:11" ht="38.25">
      <c r="A99" s="59">
        <v>18</v>
      </c>
      <c r="B99" s="60" t="s">
        <v>180</v>
      </c>
      <c r="C99" s="83">
        <v>41636</v>
      </c>
      <c r="D99" s="61" t="s">
        <v>104</v>
      </c>
      <c r="E99" s="65" t="s">
        <v>120</v>
      </c>
      <c r="F99" s="63">
        <v>33094.44</v>
      </c>
      <c r="G99" s="63">
        <v>11.99</v>
      </c>
      <c r="H99" s="63">
        <v>137.56</v>
      </c>
      <c r="I99" s="63">
        <v>33094.44</v>
      </c>
      <c r="J99" s="63">
        <v>11.99</v>
      </c>
      <c r="K99" s="63">
        <v>137.56</v>
      </c>
    </row>
    <row r="100" spans="1:11" ht="38.25">
      <c r="A100" s="59">
        <v>19</v>
      </c>
      <c r="B100" s="60" t="s">
        <v>180</v>
      </c>
      <c r="C100" s="83">
        <v>41636</v>
      </c>
      <c r="D100" s="61" t="s">
        <v>104</v>
      </c>
      <c r="E100" s="65" t="s">
        <v>121</v>
      </c>
      <c r="F100" s="63">
        <v>37716.160000000003</v>
      </c>
      <c r="G100" s="63">
        <v>29.37</v>
      </c>
      <c r="H100" s="63">
        <v>272.48</v>
      </c>
      <c r="I100" s="63">
        <v>37716.160000000003</v>
      </c>
      <c r="J100" s="63">
        <v>29.37</v>
      </c>
      <c r="K100" s="63">
        <v>272.48</v>
      </c>
    </row>
    <row r="101" spans="1:11" ht="38.25">
      <c r="A101" s="59">
        <v>20</v>
      </c>
      <c r="B101" s="60" t="s">
        <v>180</v>
      </c>
      <c r="C101" s="83">
        <v>41636</v>
      </c>
      <c r="D101" s="61" t="s">
        <v>104</v>
      </c>
      <c r="E101" s="65" t="s">
        <v>122</v>
      </c>
      <c r="F101" s="63">
        <v>39375.69</v>
      </c>
      <c r="G101" s="63">
        <v>36.14</v>
      </c>
      <c r="H101" s="63">
        <v>120.52</v>
      </c>
      <c r="I101" s="63">
        <v>39375.68</v>
      </c>
      <c r="J101" s="63">
        <v>36.14</v>
      </c>
      <c r="K101" s="63">
        <v>120.52</v>
      </c>
    </row>
    <row r="102" spans="1:11" ht="38.25">
      <c r="A102" s="59">
        <v>21</v>
      </c>
      <c r="B102" s="60" t="s">
        <v>180</v>
      </c>
      <c r="C102" s="83">
        <v>41636</v>
      </c>
      <c r="D102" s="61" t="s">
        <v>104</v>
      </c>
      <c r="E102" s="65" t="s">
        <v>123</v>
      </c>
      <c r="F102" s="63">
        <v>43929.29</v>
      </c>
      <c r="G102" s="63">
        <v>6.02</v>
      </c>
      <c r="H102" s="63">
        <v>83.52</v>
      </c>
      <c r="I102" s="63">
        <v>43929.29</v>
      </c>
      <c r="J102" s="63">
        <v>6.02</v>
      </c>
      <c r="K102" s="63">
        <v>83.52</v>
      </c>
    </row>
    <row r="103" spans="1:11" ht="38.25">
      <c r="A103" s="59">
        <v>22</v>
      </c>
      <c r="B103" s="60" t="s">
        <v>180</v>
      </c>
      <c r="C103" s="83">
        <v>41636</v>
      </c>
      <c r="D103" s="61" t="s">
        <v>104</v>
      </c>
      <c r="E103" s="65" t="s">
        <v>124</v>
      </c>
      <c r="F103" s="63">
        <v>29142.66</v>
      </c>
      <c r="G103" s="63">
        <v>43.59</v>
      </c>
      <c r="H103" s="63">
        <v>99.7</v>
      </c>
      <c r="I103" s="63">
        <v>29142.66</v>
      </c>
      <c r="J103" s="63">
        <v>43.59</v>
      </c>
      <c r="K103" s="63">
        <v>99.7</v>
      </c>
    </row>
    <row r="104" spans="1:11">
      <c r="A104" s="59">
        <v>23</v>
      </c>
      <c r="B104" s="60" t="s">
        <v>12</v>
      </c>
      <c r="C104" s="83">
        <v>41636</v>
      </c>
      <c r="D104" s="61" t="s">
        <v>104</v>
      </c>
      <c r="E104" s="65" t="s">
        <v>125</v>
      </c>
      <c r="F104" s="63">
        <v>93261.25</v>
      </c>
      <c r="G104" s="63">
        <v>109.17</v>
      </c>
      <c r="H104" s="63">
        <v>448.7</v>
      </c>
      <c r="I104" s="63">
        <v>93261.25</v>
      </c>
      <c r="J104" s="63">
        <v>109.17</v>
      </c>
      <c r="K104" s="63">
        <v>448.7</v>
      </c>
    </row>
    <row r="105" spans="1:11" ht="38.25">
      <c r="A105" s="59">
        <v>24</v>
      </c>
      <c r="B105" s="60" t="s">
        <v>180</v>
      </c>
      <c r="C105" s="83">
        <v>41636</v>
      </c>
      <c r="D105" s="61" t="s">
        <v>104</v>
      </c>
      <c r="E105" s="65" t="s">
        <v>126</v>
      </c>
      <c r="F105" s="63">
        <v>167218.51999999999</v>
      </c>
      <c r="G105" s="63">
        <v>161.78</v>
      </c>
      <c r="H105" s="63">
        <v>541.01</v>
      </c>
      <c r="I105" s="63">
        <v>167218.43</v>
      </c>
      <c r="J105" s="63">
        <v>161.78</v>
      </c>
      <c r="K105" s="63">
        <v>541.01</v>
      </c>
    </row>
    <row r="106" spans="1:11" ht="38.25">
      <c r="A106" s="59">
        <v>25</v>
      </c>
      <c r="B106" s="60" t="s">
        <v>180</v>
      </c>
      <c r="C106" s="83">
        <v>41636</v>
      </c>
      <c r="D106" s="61" t="s">
        <v>104</v>
      </c>
      <c r="E106" s="65" t="s">
        <v>127</v>
      </c>
      <c r="F106" s="63">
        <v>65789.58</v>
      </c>
      <c r="G106" s="63">
        <v>34.659999999999997</v>
      </c>
      <c r="H106" s="63">
        <v>206.95</v>
      </c>
      <c r="I106" s="63">
        <v>65789.539999999994</v>
      </c>
      <c r="J106" s="63">
        <v>34.659999999999997</v>
      </c>
      <c r="K106" s="63">
        <v>206.95</v>
      </c>
    </row>
    <row r="107" spans="1:11" ht="38.25">
      <c r="A107" s="59">
        <v>26</v>
      </c>
      <c r="B107" s="60" t="s">
        <v>180</v>
      </c>
      <c r="C107" s="83">
        <v>41636</v>
      </c>
      <c r="D107" s="61" t="s">
        <v>104</v>
      </c>
      <c r="E107" s="65" t="s">
        <v>128</v>
      </c>
      <c r="F107" s="63">
        <v>54975</v>
      </c>
      <c r="G107" s="63">
        <v>169.02</v>
      </c>
      <c r="H107" s="63">
        <v>382.01</v>
      </c>
      <c r="I107" s="63">
        <v>54975</v>
      </c>
      <c r="J107" s="63">
        <v>169.02</v>
      </c>
      <c r="K107" s="63">
        <v>382.01</v>
      </c>
    </row>
    <row r="108" spans="1:11" ht="38.25">
      <c r="A108" s="59">
        <v>27</v>
      </c>
      <c r="B108" s="60" t="s">
        <v>180</v>
      </c>
      <c r="C108" s="83">
        <v>41636</v>
      </c>
      <c r="D108" s="61" t="s">
        <v>104</v>
      </c>
      <c r="E108" s="65" t="s">
        <v>129</v>
      </c>
      <c r="F108" s="63">
        <v>95388.89</v>
      </c>
      <c r="G108" s="63">
        <v>165.89</v>
      </c>
      <c r="H108" s="63">
        <v>349.63</v>
      </c>
      <c r="I108" s="63">
        <v>95388.89</v>
      </c>
      <c r="J108" s="63">
        <v>165.89</v>
      </c>
      <c r="K108" s="63">
        <v>349.63</v>
      </c>
    </row>
    <row r="109" spans="1:11" ht="38.25">
      <c r="A109" s="59">
        <v>28</v>
      </c>
      <c r="B109" s="60" t="s">
        <v>180</v>
      </c>
      <c r="C109" s="83">
        <v>41636</v>
      </c>
      <c r="D109" s="61" t="s">
        <v>104</v>
      </c>
      <c r="E109" s="65" t="s">
        <v>130</v>
      </c>
      <c r="F109" s="63">
        <v>60397.919999999998</v>
      </c>
      <c r="G109" s="63">
        <v>54.67</v>
      </c>
      <c r="H109" s="63">
        <v>209.3</v>
      </c>
      <c r="I109" s="63">
        <v>60397.919999999998</v>
      </c>
      <c r="J109" s="63">
        <v>54.67</v>
      </c>
      <c r="K109" s="63">
        <v>209.3</v>
      </c>
    </row>
    <row r="110" spans="1:11">
      <c r="A110" s="59">
        <v>29</v>
      </c>
      <c r="B110" s="60" t="s">
        <v>13</v>
      </c>
      <c r="C110" s="83">
        <v>41636</v>
      </c>
      <c r="D110" s="61" t="s">
        <v>104</v>
      </c>
      <c r="E110" s="65" t="s">
        <v>131</v>
      </c>
      <c r="F110" s="63">
        <v>93261.25</v>
      </c>
      <c r="G110" s="63">
        <v>247.57</v>
      </c>
      <c r="H110" s="63">
        <v>608.79</v>
      </c>
      <c r="I110" s="63">
        <v>134617.78</v>
      </c>
      <c r="J110" s="63">
        <v>247.57</v>
      </c>
      <c r="K110" s="63">
        <v>608.79</v>
      </c>
    </row>
    <row r="111" spans="1:11" ht="38.25">
      <c r="A111" s="59">
        <v>30</v>
      </c>
      <c r="B111" s="60" t="s">
        <v>180</v>
      </c>
      <c r="C111" s="83">
        <v>41636</v>
      </c>
      <c r="D111" s="61" t="s">
        <v>104</v>
      </c>
      <c r="E111" s="65" t="s">
        <v>132</v>
      </c>
      <c r="F111" s="63">
        <v>81075</v>
      </c>
      <c r="G111" s="63">
        <v>55.53</v>
      </c>
      <c r="H111" s="63">
        <v>149.09</v>
      </c>
      <c r="I111" s="63">
        <v>81075</v>
      </c>
      <c r="J111" s="63">
        <v>55.53</v>
      </c>
      <c r="K111" s="63">
        <v>149.09</v>
      </c>
    </row>
    <row r="112" spans="1:11" ht="38.25">
      <c r="A112" s="59">
        <v>31</v>
      </c>
      <c r="B112" s="60" t="s">
        <v>180</v>
      </c>
      <c r="C112" s="83">
        <v>41636</v>
      </c>
      <c r="D112" s="61" t="s">
        <v>104</v>
      </c>
      <c r="E112" s="65" t="s">
        <v>133</v>
      </c>
      <c r="F112" s="63">
        <v>89761.11</v>
      </c>
      <c r="G112" s="63">
        <v>72.45</v>
      </c>
      <c r="H112" s="63">
        <v>427.82</v>
      </c>
      <c r="I112" s="63">
        <v>89760.83</v>
      </c>
      <c r="J112" s="63">
        <v>72.45</v>
      </c>
      <c r="K112" s="63">
        <v>427.83</v>
      </c>
    </row>
    <row r="113" spans="1:11" ht="38.25">
      <c r="A113" s="59">
        <v>32</v>
      </c>
      <c r="B113" s="60" t="s">
        <v>180</v>
      </c>
      <c r="C113" s="83">
        <v>41636</v>
      </c>
      <c r="D113" s="61" t="s">
        <v>104</v>
      </c>
      <c r="E113" s="65" t="s">
        <v>134</v>
      </c>
      <c r="F113" s="63">
        <v>80196.27</v>
      </c>
      <c r="G113" s="63">
        <v>59.95</v>
      </c>
      <c r="H113" s="63">
        <v>257.07</v>
      </c>
      <c r="I113" s="63">
        <v>80196.259999999995</v>
      </c>
      <c r="J113" s="63">
        <v>59.95</v>
      </c>
      <c r="K113" s="63">
        <v>257.07</v>
      </c>
    </row>
    <row r="114" spans="1:11" ht="38.25">
      <c r="A114" s="59">
        <v>33</v>
      </c>
      <c r="B114" s="60" t="s">
        <v>180</v>
      </c>
      <c r="C114" s="83">
        <v>41636</v>
      </c>
      <c r="D114" s="61" t="s">
        <v>104</v>
      </c>
      <c r="E114" s="65" t="s">
        <v>135</v>
      </c>
      <c r="F114" s="63">
        <v>44803.5</v>
      </c>
      <c r="G114" s="63">
        <v>44.53</v>
      </c>
      <c r="H114" s="63">
        <v>95.1</v>
      </c>
      <c r="I114" s="63">
        <v>44803.45</v>
      </c>
      <c r="J114" s="63">
        <v>44.53</v>
      </c>
      <c r="K114" s="63">
        <v>94.61</v>
      </c>
    </row>
    <row r="115" spans="1:11" ht="38.25">
      <c r="A115" s="59">
        <v>34</v>
      </c>
      <c r="B115" s="60" t="s">
        <v>180</v>
      </c>
      <c r="C115" s="83">
        <v>41636</v>
      </c>
      <c r="D115" s="61" t="s">
        <v>104</v>
      </c>
      <c r="E115" s="65" t="s">
        <v>138</v>
      </c>
      <c r="F115" s="63">
        <v>137898.25</v>
      </c>
      <c r="G115" s="63">
        <v>35.35</v>
      </c>
      <c r="H115" s="63">
        <v>167.02</v>
      </c>
      <c r="I115" s="63">
        <v>137898.25</v>
      </c>
      <c r="J115" s="63">
        <v>35.35</v>
      </c>
      <c r="K115" s="63">
        <v>167.02</v>
      </c>
    </row>
    <row r="116" spans="1:11" ht="38.25">
      <c r="A116" s="59">
        <v>35</v>
      </c>
      <c r="B116" s="60" t="s">
        <v>180</v>
      </c>
      <c r="C116" s="83">
        <v>41636</v>
      </c>
      <c r="D116" s="61" t="s">
        <v>104</v>
      </c>
      <c r="E116" s="65" t="s">
        <v>136</v>
      </c>
      <c r="F116" s="63">
        <v>65271.33</v>
      </c>
      <c r="G116" s="63">
        <v>72.400000000000006</v>
      </c>
      <c r="H116" s="63">
        <v>242.09</v>
      </c>
      <c r="I116" s="63">
        <v>65271.33</v>
      </c>
      <c r="J116" s="63">
        <v>72.400000000000006</v>
      </c>
      <c r="K116" s="63">
        <v>242.09</v>
      </c>
    </row>
    <row r="117" spans="1:11" ht="38.25">
      <c r="A117" s="59">
        <v>36</v>
      </c>
      <c r="B117" s="60" t="s">
        <v>180</v>
      </c>
      <c r="C117" s="83">
        <v>41636</v>
      </c>
      <c r="D117" s="61" t="s">
        <v>104</v>
      </c>
      <c r="E117" s="65" t="s">
        <v>137</v>
      </c>
      <c r="F117" s="63">
        <v>57102.14</v>
      </c>
      <c r="G117" s="63">
        <v>89.63</v>
      </c>
      <c r="H117" s="63">
        <v>234.68</v>
      </c>
      <c r="I117" s="63">
        <v>57102.04</v>
      </c>
      <c r="J117" s="63">
        <v>89.63</v>
      </c>
      <c r="K117" s="63">
        <v>234.68</v>
      </c>
    </row>
    <row r="118" spans="1:11" ht="38.25">
      <c r="A118" s="59">
        <v>37</v>
      </c>
      <c r="B118" s="60" t="s">
        <v>180</v>
      </c>
      <c r="C118" s="83">
        <v>41636</v>
      </c>
      <c r="D118" s="61" t="s">
        <v>104</v>
      </c>
      <c r="E118" s="65" t="s">
        <v>139</v>
      </c>
      <c r="F118" s="63">
        <v>84766.83</v>
      </c>
      <c r="G118" s="63">
        <v>49.65</v>
      </c>
      <c r="H118" s="63">
        <v>305.47000000000003</v>
      </c>
      <c r="I118" s="63">
        <v>84766.7</v>
      </c>
      <c r="J118" s="63">
        <v>49.65</v>
      </c>
      <c r="K118" s="63">
        <v>305.47000000000003</v>
      </c>
    </row>
    <row r="119" spans="1:11" ht="38.25">
      <c r="A119" s="59">
        <v>38</v>
      </c>
      <c r="B119" s="60" t="s">
        <v>180</v>
      </c>
      <c r="C119" s="83">
        <v>41636</v>
      </c>
      <c r="D119" s="61" t="s">
        <v>104</v>
      </c>
      <c r="E119" s="65" t="s">
        <v>140</v>
      </c>
      <c r="F119" s="63">
        <v>38438.15</v>
      </c>
      <c r="G119" s="63">
        <v>141.63</v>
      </c>
      <c r="H119" s="63">
        <v>925.24</v>
      </c>
      <c r="I119" s="63">
        <v>38438.15</v>
      </c>
      <c r="J119" s="63">
        <v>141.63</v>
      </c>
      <c r="K119" s="63">
        <v>925.24</v>
      </c>
    </row>
    <row r="120" spans="1:11" ht="38.25">
      <c r="A120" s="59">
        <v>39</v>
      </c>
      <c r="B120" s="60" t="s">
        <v>180</v>
      </c>
      <c r="C120" s="83">
        <v>41636</v>
      </c>
      <c r="D120" s="61" t="s">
        <v>104</v>
      </c>
      <c r="E120" s="65" t="s">
        <v>141</v>
      </c>
      <c r="F120" s="63">
        <v>119875.26</v>
      </c>
      <c r="G120" s="63">
        <v>93.63</v>
      </c>
      <c r="H120" s="63">
        <v>1133.3599999999999</v>
      </c>
      <c r="I120" s="63">
        <v>119875.26</v>
      </c>
      <c r="J120" s="63">
        <v>93.63</v>
      </c>
      <c r="K120" s="63">
        <v>1133.3599999999999</v>
      </c>
    </row>
    <row r="121" spans="1:11" ht="38.25">
      <c r="A121" s="59">
        <v>40</v>
      </c>
      <c r="B121" s="60" t="s">
        <v>180</v>
      </c>
      <c r="C121" s="83">
        <v>41636</v>
      </c>
      <c r="D121" s="61" t="s">
        <v>104</v>
      </c>
      <c r="E121" s="65" t="s">
        <v>142</v>
      </c>
      <c r="F121" s="63">
        <v>227666.67</v>
      </c>
      <c r="G121" s="63">
        <v>42.98</v>
      </c>
      <c r="H121" s="63">
        <v>1034.8399999999999</v>
      </c>
      <c r="I121" s="63">
        <v>227666.67</v>
      </c>
      <c r="J121" s="63">
        <v>42.98</v>
      </c>
      <c r="K121" s="63">
        <v>1034.8399999999999</v>
      </c>
    </row>
    <row r="122" spans="1:11" ht="38.25">
      <c r="A122" s="59">
        <v>41</v>
      </c>
      <c r="B122" s="60" t="s">
        <v>180</v>
      </c>
      <c r="C122" s="83">
        <v>41636</v>
      </c>
      <c r="D122" s="61" t="s">
        <v>104</v>
      </c>
      <c r="E122" s="65" t="s">
        <v>143</v>
      </c>
      <c r="F122" s="63">
        <v>356928.57</v>
      </c>
      <c r="G122" s="63">
        <v>77.52</v>
      </c>
      <c r="H122" s="63">
        <v>1389.8</v>
      </c>
      <c r="I122" s="63">
        <v>356928.57</v>
      </c>
      <c r="J122" s="63">
        <v>77.52</v>
      </c>
      <c r="K122" s="63">
        <v>1389.8</v>
      </c>
    </row>
    <row r="123" spans="1:11" ht="38.25">
      <c r="A123" s="59">
        <v>42</v>
      </c>
      <c r="B123" s="60" t="s">
        <v>180</v>
      </c>
      <c r="C123" s="83">
        <v>41636</v>
      </c>
      <c r="D123" s="61" t="s">
        <v>104</v>
      </c>
      <c r="E123" s="65" t="s">
        <v>144</v>
      </c>
      <c r="F123" s="63">
        <v>82645.36</v>
      </c>
      <c r="G123" s="63">
        <v>94.6</v>
      </c>
      <c r="H123" s="63">
        <v>805.09</v>
      </c>
      <c r="I123" s="63">
        <v>82645.36</v>
      </c>
      <c r="J123" s="63">
        <v>94.6</v>
      </c>
      <c r="K123" s="63">
        <v>805.09</v>
      </c>
    </row>
    <row r="124" spans="1:11" ht="38.25">
      <c r="A124" s="59">
        <v>43</v>
      </c>
      <c r="B124" s="60" t="s">
        <v>180</v>
      </c>
      <c r="C124" s="83">
        <v>41636</v>
      </c>
      <c r="D124" s="61" t="s">
        <v>104</v>
      </c>
      <c r="E124" s="65" t="s">
        <v>145</v>
      </c>
      <c r="F124" s="63">
        <v>132260.68</v>
      </c>
      <c r="G124" s="63">
        <v>93.46</v>
      </c>
      <c r="H124" s="63">
        <v>778.45</v>
      </c>
      <c r="I124" s="63">
        <v>132260.04999999999</v>
      </c>
      <c r="J124" s="63">
        <v>93.46</v>
      </c>
      <c r="K124" s="63">
        <v>778.45</v>
      </c>
    </row>
    <row r="125" spans="1:11" ht="38.25">
      <c r="A125" s="59">
        <v>44</v>
      </c>
      <c r="B125" s="60" t="s">
        <v>180</v>
      </c>
      <c r="C125" s="83">
        <v>41636</v>
      </c>
      <c r="D125" s="61" t="s">
        <v>104</v>
      </c>
      <c r="E125" s="85" t="s">
        <v>146</v>
      </c>
      <c r="F125" s="63">
        <v>39387.300000000003</v>
      </c>
      <c r="G125" s="63">
        <v>126.2</v>
      </c>
      <c r="H125" s="63">
        <v>240.13</v>
      </c>
      <c r="I125" s="63">
        <v>39387.300000000003</v>
      </c>
      <c r="J125" s="63">
        <v>126.2</v>
      </c>
      <c r="K125" s="63">
        <v>240.13</v>
      </c>
    </row>
    <row r="126" spans="1:11" ht="38.25">
      <c r="A126" s="59">
        <v>45</v>
      </c>
      <c r="B126" s="60" t="s">
        <v>180</v>
      </c>
      <c r="C126" s="83">
        <v>41636</v>
      </c>
      <c r="D126" s="61" t="s">
        <v>104</v>
      </c>
      <c r="E126" s="65" t="s">
        <v>147</v>
      </c>
      <c r="F126" s="63">
        <v>347015.73</v>
      </c>
      <c r="G126" s="63">
        <v>221.63</v>
      </c>
      <c r="H126" s="63">
        <v>963.13</v>
      </c>
      <c r="I126" s="63">
        <v>347015.73</v>
      </c>
      <c r="J126" s="63">
        <v>221.63</v>
      </c>
      <c r="K126" s="63">
        <v>963.13</v>
      </c>
    </row>
    <row r="127" spans="1:11" ht="38.25">
      <c r="A127" s="59">
        <v>46</v>
      </c>
      <c r="B127" s="60" t="s">
        <v>180</v>
      </c>
      <c r="C127" s="83">
        <v>41636</v>
      </c>
      <c r="D127" s="61" t="s">
        <v>104</v>
      </c>
      <c r="E127" s="65" t="s">
        <v>153</v>
      </c>
      <c r="F127" s="63">
        <v>135916.67000000001</v>
      </c>
      <c r="G127" s="63">
        <v>193.31</v>
      </c>
      <c r="H127" s="63">
        <v>1557.88</v>
      </c>
      <c r="I127" s="63">
        <v>135916.67000000001</v>
      </c>
      <c r="J127" s="63">
        <v>193.31</v>
      </c>
      <c r="K127" s="63">
        <v>1557.88</v>
      </c>
    </row>
    <row r="128" spans="1:11" ht="38.25">
      <c r="A128" s="59">
        <v>47</v>
      </c>
      <c r="B128" s="60" t="s">
        <v>180</v>
      </c>
      <c r="C128" s="83">
        <v>41636</v>
      </c>
      <c r="D128" s="61" t="s">
        <v>104</v>
      </c>
      <c r="E128" s="65" t="s">
        <v>152</v>
      </c>
      <c r="F128" s="63">
        <v>212581.66</v>
      </c>
      <c r="G128" s="63">
        <v>67.069999999999993</v>
      </c>
      <c r="H128" s="63">
        <v>514.73</v>
      </c>
      <c r="I128" s="63">
        <v>212581.66</v>
      </c>
      <c r="J128" s="63">
        <v>67.069999999999993</v>
      </c>
      <c r="K128" s="63">
        <v>514.73</v>
      </c>
    </row>
    <row r="129" spans="1:11" ht="38.25">
      <c r="A129" s="59">
        <v>48</v>
      </c>
      <c r="B129" s="60" t="s">
        <v>180</v>
      </c>
      <c r="C129" s="83">
        <v>41636</v>
      </c>
      <c r="D129" s="61" t="s">
        <v>104</v>
      </c>
      <c r="E129" s="65" t="s">
        <v>155</v>
      </c>
      <c r="F129" s="63">
        <v>75751.41</v>
      </c>
      <c r="G129" s="63">
        <v>312.72000000000003</v>
      </c>
      <c r="H129" s="63">
        <v>1346.09</v>
      </c>
      <c r="I129" s="63">
        <v>75751.41</v>
      </c>
      <c r="J129" s="63">
        <v>312.72000000000003</v>
      </c>
      <c r="K129" s="63">
        <v>1346.09</v>
      </c>
    </row>
    <row r="130" spans="1:11" ht="38.25">
      <c r="A130" s="59">
        <v>49</v>
      </c>
      <c r="B130" s="60" t="s">
        <v>180</v>
      </c>
      <c r="C130" s="83">
        <v>41636</v>
      </c>
      <c r="D130" s="61" t="s">
        <v>104</v>
      </c>
      <c r="E130" s="65" t="s">
        <v>154</v>
      </c>
      <c r="F130" s="63">
        <v>192640.61</v>
      </c>
      <c r="G130" s="63">
        <v>43.55</v>
      </c>
      <c r="H130" s="63">
        <v>437.16</v>
      </c>
      <c r="I130" s="63">
        <v>192640.61</v>
      </c>
      <c r="J130" s="63">
        <v>43.55</v>
      </c>
      <c r="K130" s="63">
        <v>437.16</v>
      </c>
    </row>
    <row r="131" spans="1:11" ht="38.25">
      <c r="A131" s="59">
        <v>50</v>
      </c>
      <c r="B131" s="60" t="s">
        <v>180</v>
      </c>
      <c r="C131" s="83">
        <v>41636</v>
      </c>
      <c r="D131" s="61" t="s">
        <v>104</v>
      </c>
      <c r="E131" s="65" t="s">
        <v>151</v>
      </c>
      <c r="F131" s="63">
        <v>74147.649999999994</v>
      </c>
      <c r="G131" s="63">
        <v>72.8</v>
      </c>
      <c r="H131" s="63">
        <v>201.91</v>
      </c>
      <c r="I131" s="63">
        <v>74147.649999999994</v>
      </c>
      <c r="J131" s="63">
        <v>72.8</v>
      </c>
      <c r="K131" s="63">
        <v>201.91</v>
      </c>
    </row>
    <row r="132" spans="1:11" ht="38.25">
      <c r="A132" s="59">
        <v>51</v>
      </c>
      <c r="B132" s="60" t="s">
        <v>180</v>
      </c>
      <c r="C132" s="83">
        <v>41636</v>
      </c>
      <c r="D132" s="61" t="s">
        <v>104</v>
      </c>
      <c r="E132" s="65" t="s">
        <v>149</v>
      </c>
      <c r="F132" s="63">
        <v>169543.93</v>
      </c>
      <c r="G132" s="63">
        <v>145.78</v>
      </c>
      <c r="H132" s="63">
        <v>656.58</v>
      </c>
      <c r="I132" s="63">
        <v>169543.93</v>
      </c>
      <c r="J132" s="63">
        <v>145.78</v>
      </c>
      <c r="K132" s="63">
        <v>656.58</v>
      </c>
    </row>
    <row r="133" spans="1:11" ht="38.25">
      <c r="A133" s="59">
        <v>52</v>
      </c>
      <c r="B133" s="60" t="s">
        <v>180</v>
      </c>
      <c r="C133" s="83">
        <v>41636</v>
      </c>
      <c r="D133" s="61" t="s">
        <v>104</v>
      </c>
      <c r="E133" s="65" t="s">
        <v>148</v>
      </c>
      <c r="F133" s="63">
        <v>11057.41</v>
      </c>
      <c r="G133" s="63">
        <v>38.54</v>
      </c>
      <c r="H133" s="63">
        <v>351.65</v>
      </c>
      <c r="I133" s="63">
        <v>11057.41</v>
      </c>
      <c r="J133" s="63">
        <v>38.54</v>
      </c>
      <c r="K133" s="63">
        <v>351.65</v>
      </c>
    </row>
    <row r="134" spans="1:11" ht="38.25">
      <c r="A134" s="59">
        <v>53</v>
      </c>
      <c r="B134" s="60" t="s">
        <v>180</v>
      </c>
      <c r="C134" s="83">
        <v>41636</v>
      </c>
      <c r="D134" s="61" t="s">
        <v>104</v>
      </c>
      <c r="E134" s="65" t="s">
        <v>150</v>
      </c>
      <c r="F134" s="63">
        <v>88462.89</v>
      </c>
      <c r="G134" s="63">
        <v>240.81</v>
      </c>
      <c r="H134" s="63">
        <v>634.54</v>
      </c>
      <c r="I134" s="63">
        <v>88462.89</v>
      </c>
      <c r="J134" s="63">
        <v>240.81</v>
      </c>
      <c r="K134" s="63">
        <v>634.54</v>
      </c>
    </row>
    <row r="135" spans="1:11" ht="38.25">
      <c r="A135" s="59">
        <v>54</v>
      </c>
      <c r="B135" s="60" t="s">
        <v>180</v>
      </c>
      <c r="C135" s="83">
        <v>41636</v>
      </c>
      <c r="D135" s="61" t="s">
        <v>104</v>
      </c>
      <c r="E135" s="65" t="s">
        <v>156</v>
      </c>
      <c r="F135" s="63">
        <v>61478.85</v>
      </c>
      <c r="G135" s="63">
        <v>66.900000000000006</v>
      </c>
      <c r="H135" s="63">
        <v>198.85</v>
      </c>
      <c r="I135" s="63">
        <v>61478.85</v>
      </c>
      <c r="J135" s="63">
        <v>66.900000000000006</v>
      </c>
      <c r="K135" s="63">
        <v>198.85</v>
      </c>
    </row>
    <row r="136" spans="1:11" ht="38.25">
      <c r="A136" s="59">
        <v>55</v>
      </c>
      <c r="B136" s="60" t="s">
        <v>180</v>
      </c>
      <c r="C136" s="83">
        <v>41636</v>
      </c>
      <c r="D136" s="61" t="s">
        <v>104</v>
      </c>
      <c r="E136" s="65" t="s">
        <v>157</v>
      </c>
      <c r="F136" s="63">
        <v>51142.31</v>
      </c>
      <c r="G136" s="63">
        <v>40.31</v>
      </c>
      <c r="H136" s="63">
        <v>121.38</v>
      </c>
      <c r="I136" s="63">
        <v>51142.31</v>
      </c>
      <c r="J136" s="63">
        <v>40.31</v>
      </c>
      <c r="K136" s="63">
        <v>121.38</v>
      </c>
    </row>
    <row r="137" spans="1:11" ht="38.25">
      <c r="A137" s="59">
        <v>56</v>
      </c>
      <c r="B137" s="60" t="s">
        <v>180</v>
      </c>
      <c r="C137" s="83">
        <v>41636</v>
      </c>
      <c r="D137" s="61" t="s">
        <v>104</v>
      </c>
      <c r="E137" s="65" t="s">
        <v>158</v>
      </c>
      <c r="F137" s="63">
        <v>45914.81</v>
      </c>
      <c r="G137" s="63">
        <v>71.7</v>
      </c>
      <c r="H137" s="63">
        <v>435.25</v>
      </c>
      <c r="I137" s="63">
        <v>45914.81</v>
      </c>
      <c r="J137" s="63">
        <v>71.7</v>
      </c>
      <c r="K137" s="63">
        <v>435.25</v>
      </c>
    </row>
    <row r="138" spans="1:11" ht="38.25">
      <c r="A138" s="59">
        <v>57</v>
      </c>
      <c r="B138" s="60" t="s">
        <v>180</v>
      </c>
      <c r="C138" s="83">
        <v>41636</v>
      </c>
      <c r="D138" s="61" t="s">
        <v>104</v>
      </c>
      <c r="E138" s="65" t="s">
        <v>159</v>
      </c>
      <c r="F138" s="63">
        <v>24345.8</v>
      </c>
      <c r="G138" s="63">
        <v>52.51</v>
      </c>
      <c r="H138" s="63">
        <v>168.73</v>
      </c>
      <c r="I138" s="63">
        <v>24345.8</v>
      </c>
      <c r="J138" s="63">
        <v>52.51</v>
      </c>
      <c r="K138" s="63">
        <v>168.73</v>
      </c>
    </row>
    <row r="139" spans="1:11" ht="38.25">
      <c r="A139" s="59">
        <v>58</v>
      </c>
      <c r="B139" s="60" t="s">
        <v>180</v>
      </c>
      <c r="C139" s="83">
        <v>41636</v>
      </c>
      <c r="D139" s="61" t="s">
        <v>104</v>
      </c>
      <c r="E139" s="65" t="s">
        <v>160</v>
      </c>
      <c r="F139" s="63">
        <v>90916.67</v>
      </c>
      <c r="G139" s="63">
        <v>69.7</v>
      </c>
      <c r="H139" s="63">
        <v>376.94</v>
      </c>
      <c r="I139" s="63">
        <v>90916.67</v>
      </c>
      <c r="J139" s="63">
        <v>69.7</v>
      </c>
      <c r="K139" s="63">
        <v>376.94</v>
      </c>
    </row>
    <row r="140" spans="1:11" ht="38.25">
      <c r="A140" s="59">
        <v>59</v>
      </c>
      <c r="B140" s="60" t="s">
        <v>180</v>
      </c>
      <c r="C140" s="83">
        <v>41636</v>
      </c>
      <c r="D140" s="61" t="s">
        <v>104</v>
      </c>
      <c r="E140" s="65" t="s">
        <v>161</v>
      </c>
      <c r="F140" s="63">
        <v>27674.29</v>
      </c>
      <c r="G140" s="63">
        <v>103.87</v>
      </c>
      <c r="H140" s="63">
        <v>518.41999999999996</v>
      </c>
      <c r="I140" s="63">
        <v>27674.29</v>
      </c>
      <c r="J140" s="63">
        <v>103.87</v>
      </c>
      <c r="K140" s="63">
        <v>518.41999999999996</v>
      </c>
    </row>
    <row r="141" spans="1:11" ht="38.25">
      <c r="A141" s="59">
        <v>60</v>
      </c>
      <c r="B141" s="60" t="s">
        <v>180</v>
      </c>
      <c r="C141" s="83">
        <v>41636</v>
      </c>
      <c r="D141" s="61" t="s">
        <v>104</v>
      </c>
      <c r="E141" s="65" t="s">
        <v>162</v>
      </c>
      <c r="F141" s="63">
        <v>171825.4</v>
      </c>
      <c r="G141" s="63">
        <v>77.209999999999994</v>
      </c>
      <c r="H141" s="63">
        <v>298.58</v>
      </c>
      <c r="I141" s="63">
        <v>171825.4</v>
      </c>
      <c r="J141" s="63">
        <v>77.209999999999994</v>
      </c>
      <c r="K141" s="63">
        <v>298.58</v>
      </c>
    </row>
    <row r="142" spans="1:11" ht="38.25">
      <c r="A142" s="59">
        <v>61</v>
      </c>
      <c r="B142" s="60" t="s">
        <v>180</v>
      </c>
      <c r="C142" s="83">
        <v>41636</v>
      </c>
      <c r="D142" s="61" t="s">
        <v>104</v>
      </c>
      <c r="E142" s="65" t="s">
        <v>163</v>
      </c>
      <c r="F142" s="63">
        <v>112613.5</v>
      </c>
      <c r="G142" s="63">
        <v>148.87</v>
      </c>
      <c r="H142" s="63">
        <v>633.98</v>
      </c>
      <c r="I142" s="63">
        <v>112613.5</v>
      </c>
      <c r="J142" s="63">
        <v>148.87</v>
      </c>
      <c r="K142" s="63">
        <v>633.98</v>
      </c>
    </row>
    <row r="143" spans="1:11" ht="38.25">
      <c r="A143" s="59">
        <v>62</v>
      </c>
      <c r="B143" s="60" t="s">
        <v>180</v>
      </c>
      <c r="C143" s="83">
        <v>41636</v>
      </c>
      <c r="D143" s="61" t="s">
        <v>104</v>
      </c>
      <c r="E143" s="65" t="s">
        <v>164</v>
      </c>
      <c r="F143" s="63">
        <v>28260.85</v>
      </c>
      <c r="G143" s="63">
        <v>125.38</v>
      </c>
      <c r="H143" s="63">
        <v>573.59</v>
      </c>
      <c r="I143" s="63">
        <v>28260.85</v>
      </c>
      <c r="J143" s="63">
        <v>125.38</v>
      </c>
      <c r="K143" s="63">
        <v>573.59</v>
      </c>
    </row>
    <row r="144" spans="1:11" ht="38.25">
      <c r="A144" s="59">
        <v>63</v>
      </c>
      <c r="B144" s="60" t="s">
        <v>180</v>
      </c>
      <c r="C144" s="83">
        <v>41636</v>
      </c>
      <c r="D144" s="61" t="s">
        <v>104</v>
      </c>
      <c r="E144" s="65" t="s">
        <v>165</v>
      </c>
      <c r="F144" s="63">
        <v>47813.1</v>
      </c>
      <c r="G144" s="63">
        <v>146.77000000000001</v>
      </c>
      <c r="H144" s="63">
        <v>371.45</v>
      </c>
      <c r="I144" s="63">
        <v>47813.1</v>
      </c>
      <c r="J144" s="63">
        <v>146.77000000000001</v>
      </c>
      <c r="K144" s="63">
        <v>371.45</v>
      </c>
    </row>
    <row r="145" spans="1:11" ht="38.25">
      <c r="A145" s="59">
        <v>64</v>
      </c>
      <c r="B145" s="60" t="s">
        <v>180</v>
      </c>
      <c r="C145" s="83">
        <v>41636</v>
      </c>
      <c r="D145" s="61" t="s">
        <v>104</v>
      </c>
      <c r="E145" s="65" t="s">
        <v>166</v>
      </c>
      <c r="F145" s="63">
        <v>69936.259999999995</v>
      </c>
      <c r="G145" s="63">
        <v>104.27</v>
      </c>
      <c r="H145" s="63">
        <v>267.10000000000002</v>
      </c>
      <c r="I145" s="63">
        <v>69936.259999999995</v>
      </c>
      <c r="J145" s="63">
        <v>104.27</v>
      </c>
      <c r="K145" s="63">
        <v>267.10000000000002</v>
      </c>
    </row>
    <row r="146" spans="1:11" ht="38.25">
      <c r="A146" s="59">
        <v>65</v>
      </c>
      <c r="B146" s="60" t="s">
        <v>180</v>
      </c>
      <c r="C146" s="83">
        <v>41636</v>
      </c>
      <c r="D146" s="61" t="s">
        <v>104</v>
      </c>
      <c r="E146" s="65" t="s">
        <v>167</v>
      </c>
      <c r="F146" s="63">
        <v>27615.91</v>
      </c>
      <c r="G146" s="63">
        <v>57.59</v>
      </c>
      <c r="H146" s="63">
        <v>126.53</v>
      </c>
      <c r="I146" s="63">
        <v>27615.91</v>
      </c>
      <c r="J146" s="63">
        <v>57.59</v>
      </c>
      <c r="K146" s="63">
        <v>126.53</v>
      </c>
    </row>
    <row r="147" spans="1:11" ht="38.25">
      <c r="A147" s="59">
        <v>66</v>
      </c>
      <c r="B147" s="60" t="s">
        <v>180</v>
      </c>
      <c r="C147" s="83">
        <v>41636</v>
      </c>
      <c r="D147" s="61" t="s">
        <v>104</v>
      </c>
      <c r="E147" s="65" t="s">
        <v>168</v>
      </c>
      <c r="F147" s="63">
        <v>156621.21</v>
      </c>
      <c r="G147" s="63">
        <v>58.98</v>
      </c>
      <c r="H147" s="63">
        <v>436.97</v>
      </c>
      <c r="I147" s="63">
        <v>156621.21</v>
      </c>
      <c r="J147" s="63">
        <v>58.98</v>
      </c>
      <c r="K147" s="63">
        <v>436.97</v>
      </c>
    </row>
    <row r="148" spans="1:11" ht="38.25">
      <c r="A148" s="59">
        <v>67</v>
      </c>
      <c r="B148" s="60" t="s">
        <v>180</v>
      </c>
      <c r="C148" s="83">
        <v>41636</v>
      </c>
      <c r="D148" s="61" t="s">
        <v>104</v>
      </c>
      <c r="E148" s="65" t="s">
        <v>169</v>
      </c>
      <c r="F148" s="63">
        <v>145856.34</v>
      </c>
      <c r="G148" s="63">
        <v>90.13</v>
      </c>
      <c r="H148" s="63">
        <v>488.06</v>
      </c>
      <c r="I148" s="63">
        <v>145856.34</v>
      </c>
      <c r="J148" s="63">
        <v>90.13</v>
      </c>
      <c r="K148" s="63">
        <v>488.06</v>
      </c>
    </row>
    <row r="149" spans="1:11" ht="38.25">
      <c r="A149" s="59">
        <v>68</v>
      </c>
      <c r="B149" s="60" t="s">
        <v>180</v>
      </c>
      <c r="C149" s="83">
        <v>41636</v>
      </c>
      <c r="D149" s="61" t="s">
        <v>104</v>
      </c>
      <c r="E149" s="65" t="s">
        <v>170</v>
      </c>
      <c r="F149" s="63">
        <v>44072.22</v>
      </c>
      <c r="G149" s="63">
        <v>83.26</v>
      </c>
      <c r="H149" s="63">
        <v>498.17</v>
      </c>
      <c r="I149" s="63">
        <v>44072.22</v>
      </c>
      <c r="J149" s="63">
        <v>83.26</v>
      </c>
      <c r="K149" s="63">
        <v>498.17</v>
      </c>
    </row>
    <row r="150" spans="1:11" ht="38.25">
      <c r="A150" s="59">
        <v>69</v>
      </c>
      <c r="B150" s="60" t="s">
        <v>180</v>
      </c>
      <c r="C150" s="83">
        <v>41636</v>
      </c>
      <c r="D150" s="61" t="s">
        <v>104</v>
      </c>
      <c r="E150" s="65" t="s">
        <v>171</v>
      </c>
      <c r="F150" s="63">
        <v>90195.83</v>
      </c>
      <c r="G150" s="63">
        <v>110.63</v>
      </c>
      <c r="H150" s="63">
        <v>295.58</v>
      </c>
      <c r="I150" s="63">
        <v>90195.83</v>
      </c>
      <c r="J150" s="63">
        <v>110.63</v>
      </c>
      <c r="K150" s="63">
        <v>295.58</v>
      </c>
    </row>
    <row r="151" spans="1:11" ht="38.25">
      <c r="A151" s="59">
        <v>70</v>
      </c>
      <c r="B151" s="60" t="s">
        <v>180</v>
      </c>
      <c r="C151" s="83">
        <v>41636</v>
      </c>
      <c r="D151" s="61" t="s">
        <v>104</v>
      </c>
      <c r="E151" s="65" t="s">
        <v>175</v>
      </c>
      <c r="F151" s="63">
        <v>243125</v>
      </c>
      <c r="G151" s="63">
        <v>154.38999999999999</v>
      </c>
      <c r="H151" s="63">
        <v>684.85</v>
      </c>
      <c r="I151" s="63">
        <v>243125</v>
      </c>
      <c r="J151" s="63">
        <v>154.38999999999999</v>
      </c>
      <c r="K151" s="63">
        <v>684.85</v>
      </c>
    </row>
    <row r="152" spans="1:11" ht="38.25">
      <c r="A152" s="59">
        <v>71</v>
      </c>
      <c r="B152" s="60" t="s">
        <v>180</v>
      </c>
      <c r="C152" s="83">
        <v>41636</v>
      </c>
      <c r="D152" s="61" t="s">
        <v>104</v>
      </c>
      <c r="E152" s="65" t="s">
        <v>172</v>
      </c>
      <c r="F152" s="63">
        <v>318250</v>
      </c>
      <c r="G152" s="63">
        <v>100.15</v>
      </c>
      <c r="H152" s="63">
        <v>1266.26</v>
      </c>
      <c r="I152" s="63">
        <v>318250</v>
      </c>
      <c r="J152" s="63">
        <v>100.15</v>
      </c>
      <c r="K152" s="63">
        <v>1266.25</v>
      </c>
    </row>
    <row r="153" spans="1:11" ht="38.25">
      <c r="A153" s="59">
        <v>72</v>
      </c>
      <c r="B153" s="60" t="s">
        <v>180</v>
      </c>
      <c r="C153" s="83">
        <v>41636</v>
      </c>
      <c r="D153" s="61" t="s">
        <v>104</v>
      </c>
      <c r="E153" s="65" t="s">
        <v>173</v>
      </c>
      <c r="F153" s="63">
        <v>110686.67</v>
      </c>
      <c r="G153" s="63">
        <v>103.92</v>
      </c>
      <c r="H153" s="63">
        <v>1518.14</v>
      </c>
      <c r="I153" s="63">
        <v>110686.67</v>
      </c>
      <c r="J153" s="63">
        <v>103.92</v>
      </c>
      <c r="K153" s="63">
        <v>1518.14</v>
      </c>
    </row>
    <row r="154" spans="1:11" ht="38.25">
      <c r="A154" s="59">
        <v>73</v>
      </c>
      <c r="B154" s="60" t="s">
        <v>180</v>
      </c>
      <c r="C154" s="83">
        <v>41636</v>
      </c>
      <c r="D154" s="61" t="s">
        <v>104</v>
      </c>
      <c r="E154" s="65" t="s">
        <v>174</v>
      </c>
      <c r="F154" s="63">
        <v>29221.67</v>
      </c>
      <c r="G154" s="63">
        <v>90.34</v>
      </c>
      <c r="H154" s="63">
        <v>441</v>
      </c>
      <c r="I154" s="63">
        <v>29221.67</v>
      </c>
      <c r="J154" s="63">
        <v>90.34</v>
      </c>
      <c r="K154" s="63">
        <v>441</v>
      </c>
    </row>
    <row r="155" spans="1:11" ht="38.25">
      <c r="A155" s="59">
        <v>74</v>
      </c>
      <c r="B155" s="60" t="s">
        <v>180</v>
      </c>
      <c r="C155" s="83">
        <v>41636</v>
      </c>
      <c r="D155" s="61" t="s">
        <v>104</v>
      </c>
      <c r="E155" s="65" t="s">
        <v>176</v>
      </c>
      <c r="F155" s="63">
        <v>366936.67</v>
      </c>
      <c r="G155" s="63">
        <v>283.38</v>
      </c>
      <c r="H155" s="63">
        <v>765.4</v>
      </c>
      <c r="I155" s="63">
        <v>366936.67</v>
      </c>
      <c r="J155" s="63">
        <v>283.38</v>
      </c>
      <c r="K155" s="63">
        <v>765.4</v>
      </c>
    </row>
    <row r="156" spans="1:11" ht="38.25">
      <c r="A156" s="59">
        <v>75</v>
      </c>
      <c r="B156" s="60" t="s">
        <v>180</v>
      </c>
      <c r="C156" s="83">
        <v>41636</v>
      </c>
      <c r="D156" s="61" t="s">
        <v>104</v>
      </c>
      <c r="E156" s="65" t="s">
        <v>177</v>
      </c>
      <c r="F156" s="63">
        <v>63966.71</v>
      </c>
      <c r="G156" s="63">
        <v>42.53</v>
      </c>
      <c r="H156" s="63">
        <v>171.62</v>
      </c>
      <c r="I156" s="63">
        <v>63966.71</v>
      </c>
      <c r="J156" s="63">
        <v>42.53</v>
      </c>
      <c r="K156" s="63">
        <v>171.62</v>
      </c>
    </row>
    <row r="157" spans="1:11" ht="38.25">
      <c r="A157" s="59">
        <v>76</v>
      </c>
      <c r="B157" s="60" t="s">
        <v>180</v>
      </c>
      <c r="C157" s="83">
        <v>41636</v>
      </c>
      <c r="D157" s="61" t="s">
        <v>104</v>
      </c>
      <c r="E157" s="65" t="s">
        <v>178</v>
      </c>
      <c r="F157" s="63">
        <v>80110.61</v>
      </c>
      <c r="G157" s="63">
        <v>49.87</v>
      </c>
      <c r="H157" s="63">
        <v>382.18</v>
      </c>
      <c r="I157" s="63">
        <v>80110.61</v>
      </c>
      <c r="J157" s="63">
        <v>49.87</v>
      </c>
      <c r="K157" s="63">
        <v>382.18</v>
      </c>
    </row>
    <row r="158" spans="1:11">
      <c r="A158" s="95" t="s">
        <v>179</v>
      </c>
      <c r="B158" s="96"/>
      <c r="C158" s="96"/>
      <c r="D158" s="96"/>
      <c r="E158" s="96"/>
      <c r="F158" s="96"/>
      <c r="G158" s="96"/>
      <c r="H158" s="96"/>
      <c r="I158" s="96"/>
      <c r="J158" s="96"/>
      <c r="K158" s="97"/>
    </row>
    <row r="159" spans="1:11" ht="25.5">
      <c r="A159" s="59">
        <v>1</v>
      </c>
      <c r="B159" s="60" t="s">
        <v>450</v>
      </c>
      <c r="C159" s="72" t="s">
        <v>8</v>
      </c>
      <c r="D159" s="61" t="s">
        <v>182</v>
      </c>
      <c r="E159" s="65" t="s">
        <v>183</v>
      </c>
      <c r="F159" s="63">
        <v>290028.299</v>
      </c>
      <c r="G159" s="63">
        <v>116.717</v>
      </c>
      <c r="H159" s="63">
        <v>572.77800000000002</v>
      </c>
      <c r="I159" s="63">
        <v>290028.299</v>
      </c>
      <c r="J159" s="63">
        <v>116.717</v>
      </c>
      <c r="K159" s="63">
        <v>572.77800000000002</v>
      </c>
    </row>
    <row r="160" spans="1:11" ht="25.5">
      <c r="A160" s="59">
        <v>2</v>
      </c>
      <c r="B160" s="60" t="s">
        <v>450</v>
      </c>
      <c r="C160" s="72" t="s">
        <v>8</v>
      </c>
      <c r="D160" s="61" t="s">
        <v>182</v>
      </c>
      <c r="E160" s="65" t="s">
        <v>184</v>
      </c>
      <c r="F160" s="63">
        <v>29968.286</v>
      </c>
      <c r="G160" s="63">
        <v>16.013999999999999</v>
      </c>
      <c r="H160" s="63">
        <v>106.502</v>
      </c>
      <c r="I160" s="63">
        <v>29968.286</v>
      </c>
      <c r="J160" s="63">
        <v>16.013999999999999</v>
      </c>
      <c r="K160" s="63">
        <v>106.502</v>
      </c>
    </row>
    <row r="161" spans="1:11" ht="25.5">
      <c r="A161" s="59">
        <v>3</v>
      </c>
      <c r="B161" s="60" t="s">
        <v>450</v>
      </c>
      <c r="C161" s="72" t="s">
        <v>8</v>
      </c>
      <c r="D161" s="61" t="s">
        <v>182</v>
      </c>
      <c r="E161" s="65" t="s">
        <v>185</v>
      </c>
      <c r="F161" s="63">
        <v>169758.39499999999</v>
      </c>
      <c r="G161" s="63">
        <v>73.433000000000007</v>
      </c>
      <c r="H161" s="63">
        <v>594.86500000000001</v>
      </c>
      <c r="I161" s="63">
        <v>169758.39499999999</v>
      </c>
      <c r="J161" s="63">
        <v>73.433000000000007</v>
      </c>
      <c r="K161" s="63">
        <v>594.86500000000001</v>
      </c>
    </row>
    <row r="162" spans="1:11" ht="25.5">
      <c r="A162" s="59">
        <v>4</v>
      </c>
      <c r="B162" s="60" t="s">
        <v>450</v>
      </c>
      <c r="C162" s="72" t="s">
        <v>8</v>
      </c>
      <c r="D162" s="61" t="s">
        <v>182</v>
      </c>
      <c r="E162" s="65" t="s">
        <v>186</v>
      </c>
      <c r="F162" s="63">
        <v>722262.18599999999</v>
      </c>
      <c r="G162" s="63">
        <v>155.929</v>
      </c>
      <c r="H162" s="63">
        <v>2292.9279999999999</v>
      </c>
      <c r="I162" s="63">
        <v>722262.18599999999</v>
      </c>
      <c r="J162" s="63">
        <v>155.929</v>
      </c>
      <c r="K162" s="63">
        <v>2292.9279999999999</v>
      </c>
    </row>
    <row r="163" spans="1:11" ht="25.5">
      <c r="A163" s="59">
        <v>5</v>
      </c>
      <c r="B163" s="60" t="s">
        <v>450</v>
      </c>
      <c r="C163" s="72" t="s">
        <v>8</v>
      </c>
      <c r="D163" s="61" t="s">
        <v>182</v>
      </c>
      <c r="E163" s="65" t="s">
        <v>187</v>
      </c>
      <c r="F163" s="63">
        <v>169954.71299999999</v>
      </c>
      <c r="G163" s="63">
        <v>14.747</v>
      </c>
      <c r="H163" s="63">
        <v>314.654</v>
      </c>
      <c r="I163" s="63">
        <v>169954.71299999999</v>
      </c>
      <c r="J163" s="63">
        <v>14.747</v>
      </c>
      <c r="K163" s="63">
        <v>314.654</v>
      </c>
    </row>
    <row r="164" spans="1:11" ht="25.5">
      <c r="A164" s="59">
        <v>6</v>
      </c>
      <c r="B164" s="60" t="s">
        <v>450</v>
      </c>
      <c r="C164" s="72" t="s">
        <v>8</v>
      </c>
      <c r="D164" s="61" t="s">
        <v>182</v>
      </c>
      <c r="E164" s="65" t="s">
        <v>188</v>
      </c>
      <c r="F164" s="63">
        <v>172608.11799999999</v>
      </c>
      <c r="G164" s="63">
        <v>59.472000000000001</v>
      </c>
      <c r="H164" s="63">
        <v>339.40300000000002</v>
      </c>
      <c r="I164" s="63">
        <v>172608.11799999999</v>
      </c>
      <c r="J164" s="63">
        <v>59.472000000000001</v>
      </c>
      <c r="K164" s="63">
        <v>339.40300000000002</v>
      </c>
    </row>
    <row r="165" spans="1:11" ht="25.5">
      <c r="A165" s="59">
        <v>7</v>
      </c>
      <c r="B165" s="60" t="s">
        <v>450</v>
      </c>
      <c r="C165" s="72" t="s">
        <v>8</v>
      </c>
      <c r="D165" s="61" t="s">
        <v>182</v>
      </c>
      <c r="E165" s="65" t="s">
        <v>189</v>
      </c>
      <c r="F165" s="63">
        <v>69410.156000000003</v>
      </c>
      <c r="G165" s="63">
        <v>191.679</v>
      </c>
      <c r="H165" s="63">
        <v>378.22800000000001</v>
      </c>
      <c r="I165" s="63">
        <v>69410.156000000003</v>
      </c>
      <c r="J165" s="63">
        <v>191.679</v>
      </c>
      <c r="K165" s="63">
        <v>378.22800000000001</v>
      </c>
    </row>
    <row r="166" spans="1:11" ht="25.5">
      <c r="A166" s="59">
        <v>8</v>
      </c>
      <c r="B166" s="60" t="s">
        <v>450</v>
      </c>
      <c r="C166" s="72" t="s">
        <v>8</v>
      </c>
      <c r="D166" s="61" t="s">
        <v>182</v>
      </c>
      <c r="E166" s="65" t="s">
        <v>190</v>
      </c>
      <c r="F166" s="63">
        <v>10306.242</v>
      </c>
      <c r="G166" s="63">
        <v>20.181999999999999</v>
      </c>
      <c r="H166" s="63">
        <v>47.642000000000003</v>
      </c>
      <c r="I166" s="63">
        <v>10306.242</v>
      </c>
      <c r="J166" s="63">
        <v>20.181999999999999</v>
      </c>
      <c r="K166" s="63">
        <v>47.642000000000003</v>
      </c>
    </row>
    <row r="167" spans="1:11" ht="25.5">
      <c r="A167" s="59">
        <v>9</v>
      </c>
      <c r="B167" s="60" t="s">
        <v>450</v>
      </c>
      <c r="C167" s="72" t="s">
        <v>8</v>
      </c>
      <c r="D167" s="61" t="s">
        <v>182</v>
      </c>
      <c r="E167" s="65" t="s">
        <v>191</v>
      </c>
      <c r="F167" s="63">
        <v>846463.89199999999</v>
      </c>
      <c r="G167" s="63">
        <v>72.522999999999996</v>
      </c>
      <c r="H167" s="63">
        <v>2936.3069999999998</v>
      </c>
      <c r="I167" s="63">
        <v>846463.89199999999</v>
      </c>
      <c r="J167" s="63">
        <v>72.522999999999996</v>
      </c>
      <c r="K167" s="63">
        <v>2936.3069999999998</v>
      </c>
    </row>
    <row r="168" spans="1:11" ht="25.5">
      <c r="A168" s="59">
        <v>10</v>
      </c>
      <c r="B168" s="60" t="s">
        <v>450</v>
      </c>
      <c r="C168" s="72" t="s">
        <v>8</v>
      </c>
      <c r="D168" s="61" t="s">
        <v>182</v>
      </c>
      <c r="E168" s="65" t="s">
        <v>192</v>
      </c>
      <c r="F168" s="63">
        <v>79997.415999999997</v>
      </c>
      <c r="G168" s="63">
        <v>134.666</v>
      </c>
      <c r="H168" s="63">
        <v>247.352</v>
      </c>
      <c r="I168" s="63">
        <v>79997.415999999997</v>
      </c>
      <c r="J168" s="63">
        <v>134.666</v>
      </c>
      <c r="K168" s="63">
        <v>247.352</v>
      </c>
    </row>
    <row r="169" spans="1:11" ht="25.5">
      <c r="A169" s="59">
        <v>11</v>
      </c>
      <c r="B169" s="60" t="s">
        <v>450</v>
      </c>
      <c r="C169" s="72" t="s">
        <v>8</v>
      </c>
      <c r="D169" s="61" t="s">
        <v>182</v>
      </c>
      <c r="E169" s="65" t="s">
        <v>193</v>
      </c>
      <c r="F169" s="63">
        <v>238031.91699999999</v>
      </c>
      <c r="G169" s="63">
        <v>147.56</v>
      </c>
      <c r="H169" s="63">
        <v>719.80200000000002</v>
      </c>
      <c r="I169" s="63">
        <v>238031.91699999999</v>
      </c>
      <c r="J169" s="63">
        <v>147.56</v>
      </c>
      <c r="K169" s="63">
        <v>719.80200000000002</v>
      </c>
    </row>
    <row r="170" spans="1:11" ht="38.25">
      <c r="A170" s="59">
        <v>12</v>
      </c>
      <c r="B170" s="60" t="s">
        <v>450</v>
      </c>
      <c r="C170" s="72" t="s">
        <v>8</v>
      </c>
      <c r="D170" s="61" t="s">
        <v>182</v>
      </c>
      <c r="E170" s="65" t="s">
        <v>194</v>
      </c>
      <c r="F170" s="63">
        <v>36540.36</v>
      </c>
      <c r="G170" s="63">
        <v>33.719000000000001</v>
      </c>
      <c r="H170" s="63">
        <v>102.104</v>
      </c>
      <c r="I170" s="63">
        <v>36540.36</v>
      </c>
      <c r="J170" s="63">
        <v>33.719000000000001</v>
      </c>
      <c r="K170" s="63">
        <v>102.104</v>
      </c>
    </row>
    <row r="171" spans="1:11" ht="25.5">
      <c r="A171" s="59">
        <v>13</v>
      </c>
      <c r="B171" s="60" t="s">
        <v>450</v>
      </c>
      <c r="C171" s="72" t="s">
        <v>8</v>
      </c>
      <c r="D171" s="61" t="s">
        <v>182</v>
      </c>
      <c r="E171" s="65" t="s">
        <v>195</v>
      </c>
      <c r="F171" s="63">
        <v>328201.14399999997</v>
      </c>
      <c r="G171" s="63">
        <v>142.619</v>
      </c>
      <c r="H171" s="63">
        <v>892.44899999999996</v>
      </c>
      <c r="I171" s="63">
        <v>328201.14399999997</v>
      </c>
      <c r="J171" s="63">
        <v>142.619</v>
      </c>
      <c r="K171" s="63">
        <v>892.44899999999996</v>
      </c>
    </row>
    <row r="172" spans="1:11">
      <c r="A172" s="59">
        <v>14</v>
      </c>
      <c r="B172" s="60" t="s">
        <v>451</v>
      </c>
      <c r="C172" s="72" t="s">
        <v>9</v>
      </c>
      <c r="D172" s="61" t="s">
        <v>197</v>
      </c>
      <c r="E172" s="65" t="s">
        <v>196</v>
      </c>
      <c r="F172" s="63">
        <v>551076.89</v>
      </c>
      <c r="G172" s="63">
        <v>137.05000000000001</v>
      </c>
      <c r="H172" s="63">
        <v>1356.69</v>
      </c>
      <c r="I172" s="63">
        <v>551076.89</v>
      </c>
      <c r="J172" s="63">
        <v>137.05000000000001</v>
      </c>
      <c r="K172" s="63">
        <v>1356.69</v>
      </c>
    </row>
    <row r="173" spans="1:11">
      <c r="A173" s="95" t="s">
        <v>198</v>
      </c>
      <c r="B173" s="96"/>
      <c r="C173" s="96"/>
      <c r="D173" s="96"/>
      <c r="E173" s="96"/>
      <c r="F173" s="96"/>
      <c r="G173" s="96"/>
      <c r="H173" s="96"/>
      <c r="I173" s="96"/>
      <c r="J173" s="96"/>
      <c r="K173" s="97"/>
    </row>
    <row r="174" spans="1:11">
      <c r="A174" s="59">
        <v>1</v>
      </c>
      <c r="B174" s="60" t="s">
        <v>452</v>
      </c>
      <c r="C174" s="83">
        <v>41633</v>
      </c>
      <c r="D174" s="61" t="s">
        <v>200</v>
      </c>
      <c r="E174" s="65" t="s">
        <v>201</v>
      </c>
      <c r="F174" s="63">
        <f>55.595309*1000</f>
        <v>55595.309000000001</v>
      </c>
      <c r="G174" s="63">
        <f>0.027106*1000</f>
        <v>27.106000000000002</v>
      </c>
      <c r="H174" s="63">
        <f>0.152322*1000</f>
        <v>152.322</v>
      </c>
      <c r="I174" s="63">
        <f>58.099027*1000</f>
        <v>58099.027000000002</v>
      </c>
      <c r="J174" s="63">
        <f>0.027859*1000</f>
        <v>27.858999999999998</v>
      </c>
      <c r="K174" s="63">
        <f>0.15998*1000</f>
        <v>159.98000000000002</v>
      </c>
    </row>
    <row r="175" spans="1:11">
      <c r="A175" s="59">
        <v>2</v>
      </c>
      <c r="B175" s="60" t="s">
        <v>453</v>
      </c>
      <c r="C175" s="83">
        <v>41633</v>
      </c>
      <c r="D175" s="61" t="s">
        <v>200</v>
      </c>
      <c r="E175" s="65" t="s">
        <v>55</v>
      </c>
      <c r="F175" s="63">
        <f>524.531701*1000</f>
        <v>524531.701</v>
      </c>
      <c r="G175" s="63">
        <f>0.1462*1000</f>
        <v>146.19999999999999</v>
      </c>
      <c r="H175" s="63">
        <f>1.822328*1000</f>
        <v>1822.328</v>
      </c>
      <c r="I175" s="63">
        <f>1107.867683*1000</f>
        <v>1107867.683</v>
      </c>
      <c r="J175" s="63">
        <f>0.231906*1000</f>
        <v>231.90600000000001</v>
      </c>
      <c r="K175" s="63">
        <f>3.771871*1000</f>
        <v>3771.8710000000001</v>
      </c>
    </row>
    <row r="176" spans="1:11">
      <c r="A176" s="59">
        <v>3</v>
      </c>
      <c r="B176" s="60" t="s">
        <v>454</v>
      </c>
      <c r="C176" s="83">
        <v>41633</v>
      </c>
      <c r="D176" s="61" t="s">
        <v>200</v>
      </c>
      <c r="E176" s="65" t="s">
        <v>202</v>
      </c>
      <c r="F176" s="63">
        <f>9.7106*1000</f>
        <v>9710.5999999999985</v>
      </c>
      <c r="G176" s="63">
        <f>0.015586*1000</f>
        <v>15.585999999999999</v>
      </c>
      <c r="H176" s="63">
        <f>0.051512*1000</f>
        <v>51.512</v>
      </c>
      <c r="I176" s="63">
        <f>9.7106*1000</f>
        <v>9710.5999999999985</v>
      </c>
      <c r="J176" s="63">
        <f>0.01859*1000</f>
        <v>18.59</v>
      </c>
      <c r="K176" s="63">
        <f>0.054844*1000</f>
        <v>54.843999999999994</v>
      </c>
    </row>
    <row r="177" spans="1:11">
      <c r="A177" s="59">
        <v>4</v>
      </c>
      <c r="B177" s="60" t="s">
        <v>455</v>
      </c>
      <c r="C177" s="83">
        <v>41633</v>
      </c>
      <c r="D177" s="61" t="s">
        <v>200</v>
      </c>
      <c r="E177" s="65" t="s">
        <v>203</v>
      </c>
      <c r="F177" s="63">
        <f>28.414705*1000</f>
        <v>28414.705000000002</v>
      </c>
      <c r="G177" s="63">
        <f>0.051283*1000</f>
        <v>51.283000000000001</v>
      </c>
      <c r="H177" s="63">
        <f>0.108127*1000</f>
        <v>108.127</v>
      </c>
      <c r="I177" s="63">
        <f>32.532381*1000</f>
        <v>32532.381000000001</v>
      </c>
      <c r="J177" s="63">
        <f>0.053634*1000</f>
        <v>53.634</v>
      </c>
      <c r="K177" s="63">
        <f>0.119035*1000</f>
        <v>119.035</v>
      </c>
    </row>
    <row r="178" spans="1:11">
      <c r="A178" s="59">
        <v>5</v>
      </c>
      <c r="B178" s="60" t="s">
        <v>456</v>
      </c>
      <c r="C178" s="83">
        <v>41633</v>
      </c>
      <c r="D178" s="61" t="s">
        <v>200</v>
      </c>
      <c r="E178" s="65" t="s">
        <v>204</v>
      </c>
      <c r="F178" s="63">
        <f>4.844595*1000</f>
        <v>4844.5950000000003</v>
      </c>
      <c r="G178" s="63">
        <f>0.037697*1000</f>
        <v>37.697000000000003</v>
      </c>
      <c r="H178" s="63">
        <f>0.055664*1000</f>
        <v>55.664000000000001</v>
      </c>
      <c r="I178" s="63">
        <f>4.844595*1000</f>
        <v>4844.5950000000003</v>
      </c>
      <c r="J178" s="63">
        <f>0.039507*1000</f>
        <v>39.506999999999998</v>
      </c>
      <c r="K178" s="63">
        <f>0.057638*1000</f>
        <v>57.638000000000005</v>
      </c>
    </row>
    <row r="179" spans="1:11">
      <c r="A179" s="59">
        <v>6</v>
      </c>
      <c r="B179" s="60" t="s">
        <v>457</v>
      </c>
      <c r="C179" s="83">
        <v>41633</v>
      </c>
      <c r="D179" s="61" t="s">
        <v>200</v>
      </c>
      <c r="E179" s="65" t="s">
        <v>205</v>
      </c>
      <c r="F179" s="63">
        <f>17.062142*1000</f>
        <v>17062.142</v>
      </c>
      <c r="G179" s="63">
        <f>0.084691*1000</f>
        <v>84.691000000000003</v>
      </c>
      <c r="H179" s="63">
        <f>0.125695*1000</f>
        <v>125.69500000000001</v>
      </c>
      <c r="I179" s="63">
        <f>18.544283*1000</f>
        <v>18544.282999999999</v>
      </c>
      <c r="J179" s="63">
        <f>0.087271*1000</f>
        <v>87.271000000000001</v>
      </c>
      <c r="K179" s="63">
        <f>0.131837*1000</f>
        <v>131.83700000000002</v>
      </c>
    </row>
    <row r="180" spans="1:11">
      <c r="A180" s="59">
        <v>7</v>
      </c>
      <c r="B180" s="60" t="s">
        <v>458</v>
      </c>
      <c r="C180" s="83">
        <v>41633</v>
      </c>
      <c r="D180" s="61" t="s">
        <v>200</v>
      </c>
      <c r="E180" s="65" t="s">
        <v>206</v>
      </c>
      <c r="F180" s="63">
        <f>7.909314*1000</f>
        <v>7909.3140000000003</v>
      </c>
      <c r="G180" s="63">
        <f>0.046351*1000</f>
        <v>46.351000000000006</v>
      </c>
      <c r="H180" s="63">
        <f>0.071399*1000</f>
        <v>71.399000000000001</v>
      </c>
      <c r="I180" s="63">
        <f>12.543503*1000</f>
        <v>12543.502999999999</v>
      </c>
      <c r="J180" s="63">
        <f>0.046171*1000</f>
        <v>46.170999999999999</v>
      </c>
      <c r="K180" s="63">
        <f>0.084783*1000</f>
        <v>84.783000000000001</v>
      </c>
    </row>
    <row r="181" spans="1:11">
      <c r="A181" s="59">
        <v>8</v>
      </c>
      <c r="B181" s="60" t="s">
        <v>459</v>
      </c>
      <c r="C181" s="83">
        <v>41633</v>
      </c>
      <c r="D181" s="61" t="s">
        <v>200</v>
      </c>
      <c r="E181" s="65" t="s">
        <v>207</v>
      </c>
      <c r="F181" s="63">
        <f>84.25266*1000</f>
        <v>84252.66</v>
      </c>
      <c r="G181" s="63">
        <f>0.008319*1000</f>
        <v>8.3190000000000008</v>
      </c>
      <c r="H181" s="63">
        <f>0.156748*1000</f>
        <v>156.74799999999999</v>
      </c>
      <c r="I181" s="63">
        <f>140.578701*1000</f>
        <v>140578.701</v>
      </c>
      <c r="J181" s="63">
        <f>0.00741*1000</f>
        <v>7.41</v>
      </c>
      <c r="K181" s="63">
        <f>0.272471*1000</f>
        <v>272.471</v>
      </c>
    </row>
    <row r="182" spans="1:11">
      <c r="A182" s="59">
        <v>9</v>
      </c>
      <c r="B182" s="60" t="s">
        <v>460</v>
      </c>
      <c r="C182" s="83">
        <v>41633</v>
      </c>
      <c r="D182" s="61" t="s">
        <v>200</v>
      </c>
      <c r="E182" s="65" t="s">
        <v>208</v>
      </c>
      <c r="F182" s="63">
        <f>212.744016*1000</f>
        <v>212744.01599999997</v>
      </c>
      <c r="G182" s="63">
        <f>0.113855*1000</f>
        <v>113.855</v>
      </c>
      <c r="H182" s="63">
        <f>0.592464*1000</f>
        <v>592.46399999999994</v>
      </c>
      <c r="I182" s="63">
        <f>212.744016*1000</f>
        <v>212744.01599999997</v>
      </c>
      <c r="J182" s="63">
        <f>0.117541*1000</f>
        <v>117.54100000000001</v>
      </c>
      <c r="K182" s="63">
        <f>0.594561*1000</f>
        <v>594.56100000000004</v>
      </c>
    </row>
    <row r="183" spans="1:11" ht="25.5">
      <c r="A183" s="59">
        <v>10</v>
      </c>
      <c r="B183" s="60" t="s">
        <v>461</v>
      </c>
      <c r="C183" s="83">
        <v>41633</v>
      </c>
      <c r="D183" s="61" t="s">
        <v>200</v>
      </c>
      <c r="E183" s="65" t="s">
        <v>210</v>
      </c>
      <c r="F183" s="63">
        <f>251.682836*1000</f>
        <v>251682.83600000001</v>
      </c>
      <c r="G183" s="63">
        <f>0.130518*1000</f>
        <v>130.518</v>
      </c>
      <c r="H183" s="63">
        <f>0.583708*1000</f>
        <v>583.70799999999997</v>
      </c>
      <c r="I183" s="63">
        <f>251.682836*1000</f>
        <v>251682.83600000001</v>
      </c>
      <c r="J183" s="63">
        <f>0.134247*1000</f>
        <v>134.24700000000001</v>
      </c>
      <c r="K183" s="63">
        <f>0.586534*1000</f>
        <v>586.53399999999999</v>
      </c>
    </row>
    <row r="184" spans="1:11" ht="25.5">
      <c r="A184" s="59">
        <v>11</v>
      </c>
      <c r="B184" s="60" t="s">
        <v>462</v>
      </c>
      <c r="C184" s="83">
        <v>41633</v>
      </c>
      <c r="D184" s="61" t="s">
        <v>200</v>
      </c>
      <c r="E184" s="65" t="s">
        <v>209</v>
      </c>
      <c r="F184" s="63">
        <f>152.295889*1000</f>
        <v>152295.889</v>
      </c>
      <c r="G184" s="63">
        <f>0.143519*1000</f>
        <v>143.51900000000001</v>
      </c>
      <c r="H184" s="63">
        <f>0.413525*1000</f>
        <v>413.52499999999998</v>
      </c>
      <c r="I184" s="63">
        <f>309.067029*1000</f>
        <v>309067.02899999998</v>
      </c>
      <c r="J184" s="63">
        <f>0.147532*1000</f>
        <v>147.53199999999998</v>
      </c>
      <c r="K184" s="63">
        <f>0.696102*1000</f>
        <v>696.10199999999998</v>
      </c>
    </row>
    <row r="185" spans="1:11">
      <c r="A185" s="59">
        <v>12</v>
      </c>
      <c r="B185" s="60" t="s">
        <v>463</v>
      </c>
      <c r="C185" s="83">
        <v>41633</v>
      </c>
      <c r="D185" s="61" t="s">
        <v>200</v>
      </c>
      <c r="E185" s="65" t="s">
        <v>211</v>
      </c>
      <c r="F185" s="63">
        <f>282.227488*1000</f>
        <v>282227.48800000001</v>
      </c>
      <c r="G185" s="63">
        <f>0.059721*1000</f>
        <v>59.721000000000004</v>
      </c>
      <c r="H185" s="63">
        <f>0.546505*1000</f>
        <v>546.505</v>
      </c>
      <c r="I185" s="63">
        <f>451.18004*1000</f>
        <v>451180.04000000004</v>
      </c>
      <c r="J185" s="63">
        <f>0.061054*1000</f>
        <v>61.053999999999995</v>
      </c>
      <c r="K185" s="63">
        <f>0.830429*1000</f>
        <v>830.42899999999997</v>
      </c>
    </row>
    <row r="186" spans="1:11">
      <c r="A186" s="59">
        <v>13</v>
      </c>
      <c r="B186" s="60" t="s">
        <v>464</v>
      </c>
      <c r="C186" s="83">
        <v>41633</v>
      </c>
      <c r="D186" s="61" t="s">
        <v>200</v>
      </c>
      <c r="E186" s="65" t="s">
        <v>212</v>
      </c>
      <c r="F186" s="63">
        <f>257.940628*1000</f>
        <v>257940.628</v>
      </c>
      <c r="G186" s="63">
        <f>0.046451*1000</f>
        <v>46.451000000000001</v>
      </c>
      <c r="H186" s="63">
        <f>0.403726*1000</f>
        <v>403.726</v>
      </c>
      <c r="I186" s="63">
        <f>693.336606*1000</f>
        <v>693336.60599999991</v>
      </c>
      <c r="J186" s="63">
        <f>0.047614*1000</f>
        <v>47.613999999999997</v>
      </c>
      <c r="K186" s="63">
        <f>0.987974*1000</f>
        <v>987.97400000000005</v>
      </c>
    </row>
    <row r="187" spans="1:11" ht="25.5">
      <c r="A187" s="59">
        <v>14</v>
      </c>
      <c r="B187" s="60" t="s">
        <v>465</v>
      </c>
      <c r="C187" s="83">
        <v>41633</v>
      </c>
      <c r="D187" s="61" t="s">
        <v>200</v>
      </c>
      <c r="E187" s="65" t="s">
        <v>213</v>
      </c>
      <c r="F187" s="63">
        <f>210.378599*1000</f>
        <v>210378.59900000002</v>
      </c>
      <c r="G187" s="63">
        <f>0.152873*1000</f>
        <v>152.87300000000002</v>
      </c>
      <c r="H187" s="63">
        <f>0.509944*1000</f>
        <v>509.94399999999996</v>
      </c>
      <c r="I187" s="63">
        <f>219.15727*1000</f>
        <v>219157.27000000002</v>
      </c>
      <c r="J187" s="63">
        <f>0.147617*1000</f>
        <v>147.61699999999999</v>
      </c>
      <c r="K187" s="63">
        <f>0.508511*1000</f>
        <v>508.51100000000002</v>
      </c>
    </row>
    <row r="188" spans="1:11">
      <c r="A188" s="59">
        <v>15</v>
      </c>
      <c r="B188" s="60" t="s">
        <v>466</v>
      </c>
      <c r="C188" s="83">
        <v>41633</v>
      </c>
      <c r="D188" s="61" t="s">
        <v>200</v>
      </c>
      <c r="E188" s="65" t="s">
        <v>214</v>
      </c>
      <c r="F188" s="63">
        <f>235.775356*1000</f>
        <v>235775.356</v>
      </c>
      <c r="G188" s="63">
        <f>0.01631*1000</f>
        <v>16.310000000000002</v>
      </c>
      <c r="H188" s="63">
        <f>0.575884*1000</f>
        <v>575.8839999999999</v>
      </c>
      <c r="I188" s="63">
        <f>244.632619*1000</f>
        <v>244632.61900000001</v>
      </c>
      <c r="J188" s="63">
        <f>0.015529*1000</f>
        <v>15.529</v>
      </c>
      <c r="K188" s="63">
        <f>0.567768*1000</f>
        <v>567.76800000000003</v>
      </c>
    </row>
    <row r="189" spans="1:11">
      <c r="A189" s="59">
        <v>16</v>
      </c>
      <c r="B189" s="60" t="s">
        <v>467</v>
      </c>
      <c r="C189" s="83">
        <v>41633</v>
      </c>
      <c r="D189" s="61" t="s">
        <v>200</v>
      </c>
      <c r="E189" s="65" t="s">
        <v>215</v>
      </c>
      <c r="F189" s="63">
        <f>265.136551*1000</f>
        <v>265136.55099999998</v>
      </c>
      <c r="G189" s="63">
        <f>0.327831*1000</f>
        <v>327.83099999999996</v>
      </c>
      <c r="H189" s="63">
        <f>0.892055*1000</f>
        <v>892.05500000000006</v>
      </c>
      <c r="I189" s="63">
        <f>312.50101*1000</f>
        <v>312501.01</v>
      </c>
      <c r="J189" s="63">
        <f>0.334385*1000</f>
        <v>334.38499999999999</v>
      </c>
      <c r="K189" s="63">
        <f>1.00297*1000</f>
        <v>1002.9699999999999</v>
      </c>
    </row>
    <row r="190" spans="1:11">
      <c r="A190" s="95" t="s">
        <v>216</v>
      </c>
      <c r="B190" s="96"/>
      <c r="C190" s="96"/>
      <c r="D190" s="96"/>
      <c r="E190" s="96"/>
      <c r="F190" s="96"/>
      <c r="G190" s="96"/>
      <c r="H190" s="96"/>
      <c r="I190" s="96"/>
      <c r="J190" s="96"/>
      <c r="K190" s="97"/>
    </row>
    <row r="191" spans="1:11">
      <c r="A191" s="59">
        <v>1</v>
      </c>
      <c r="B191" s="60" t="s">
        <v>468</v>
      </c>
      <c r="C191" s="83">
        <v>41635</v>
      </c>
      <c r="D191" s="61" t="s">
        <v>217</v>
      </c>
      <c r="E191" s="65" t="s">
        <v>220</v>
      </c>
      <c r="F191" s="63">
        <v>470226.36</v>
      </c>
      <c r="G191" s="63">
        <v>295.54000000000002</v>
      </c>
      <c r="H191" s="63">
        <v>1315.78</v>
      </c>
      <c r="I191" s="63">
        <v>470226.36</v>
      </c>
      <c r="J191" s="63">
        <v>295.54000000000002</v>
      </c>
      <c r="K191" s="63">
        <v>1315.78</v>
      </c>
    </row>
    <row r="192" spans="1:11">
      <c r="A192" s="59">
        <f>A191+1</f>
        <v>2</v>
      </c>
      <c r="B192" s="60" t="s">
        <v>468</v>
      </c>
      <c r="C192" s="83">
        <v>41635</v>
      </c>
      <c r="D192" s="61" t="s">
        <v>217</v>
      </c>
      <c r="E192" s="65" t="s">
        <v>221</v>
      </c>
      <c r="F192" s="63">
        <v>41741.870000000003</v>
      </c>
      <c r="G192" s="63">
        <v>27.15</v>
      </c>
      <c r="H192" s="63">
        <v>113.22</v>
      </c>
      <c r="I192" s="63">
        <v>41741.870000000003</v>
      </c>
      <c r="J192" s="63">
        <v>27.15</v>
      </c>
      <c r="K192" s="63">
        <v>113.22</v>
      </c>
    </row>
    <row r="193" spans="1:11">
      <c r="A193" s="59">
        <f t="shared" ref="A193:A212" si="0">A192+1</f>
        <v>3</v>
      </c>
      <c r="B193" s="60" t="s">
        <v>468</v>
      </c>
      <c r="C193" s="83">
        <v>41635</v>
      </c>
      <c r="D193" s="61" t="s">
        <v>218</v>
      </c>
      <c r="E193" s="65" t="s">
        <v>224</v>
      </c>
      <c r="F193" s="63">
        <v>130785.34</v>
      </c>
      <c r="G193" s="63">
        <v>127.1</v>
      </c>
      <c r="H193" s="63">
        <v>573.62</v>
      </c>
      <c r="I193" s="63">
        <v>130785.34</v>
      </c>
      <c r="J193" s="63">
        <v>127.1</v>
      </c>
      <c r="K193" s="63">
        <v>573.62</v>
      </c>
    </row>
    <row r="194" spans="1:11">
      <c r="A194" s="59">
        <f t="shared" si="0"/>
        <v>4</v>
      </c>
      <c r="B194" s="60" t="s">
        <v>468</v>
      </c>
      <c r="C194" s="83">
        <v>41635</v>
      </c>
      <c r="D194" s="61" t="s">
        <v>218</v>
      </c>
      <c r="E194" s="65" t="s">
        <v>223</v>
      </c>
      <c r="F194" s="63">
        <v>58636.76</v>
      </c>
      <c r="G194" s="63">
        <v>40.840000000000003</v>
      </c>
      <c r="H194" s="63">
        <v>181.14</v>
      </c>
      <c r="I194" s="63">
        <v>58636.76</v>
      </c>
      <c r="J194" s="63">
        <v>40.840000000000003</v>
      </c>
      <c r="K194" s="63">
        <v>181.14</v>
      </c>
    </row>
    <row r="195" spans="1:11">
      <c r="A195" s="59">
        <f t="shared" si="0"/>
        <v>5</v>
      </c>
      <c r="B195" s="60" t="s">
        <v>468</v>
      </c>
      <c r="C195" s="83">
        <v>41635</v>
      </c>
      <c r="D195" s="61" t="s">
        <v>218</v>
      </c>
      <c r="E195" s="65" t="s">
        <v>222</v>
      </c>
      <c r="F195" s="63">
        <v>70861.990000000005</v>
      </c>
      <c r="G195" s="63">
        <v>56.71</v>
      </c>
      <c r="H195" s="63">
        <v>271.39</v>
      </c>
      <c r="I195" s="63">
        <v>70861.990000000005</v>
      </c>
      <c r="J195" s="63">
        <v>56.71</v>
      </c>
      <c r="K195" s="63">
        <v>271.39</v>
      </c>
    </row>
    <row r="196" spans="1:11" ht="25.5">
      <c r="A196" s="59">
        <f t="shared" si="0"/>
        <v>6</v>
      </c>
      <c r="B196" s="60" t="s">
        <v>468</v>
      </c>
      <c r="C196" s="83">
        <v>41635</v>
      </c>
      <c r="D196" s="61" t="s">
        <v>218</v>
      </c>
      <c r="E196" s="65" t="s">
        <v>227</v>
      </c>
      <c r="F196" s="63">
        <v>21184.91</v>
      </c>
      <c r="G196" s="63">
        <v>26.62</v>
      </c>
      <c r="H196" s="63">
        <v>57.32</v>
      </c>
      <c r="I196" s="63">
        <v>21184.91</v>
      </c>
      <c r="J196" s="63">
        <v>26.62</v>
      </c>
      <c r="K196" s="63">
        <v>57.32</v>
      </c>
    </row>
    <row r="197" spans="1:11">
      <c r="A197" s="59">
        <f t="shared" si="0"/>
        <v>7</v>
      </c>
      <c r="B197" s="60" t="s">
        <v>468</v>
      </c>
      <c r="C197" s="83">
        <v>41635</v>
      </c>
      <c r="D197" s="61" t="s">
        <v>218</v>
      </c>
      <c r="E197" s="65" t="s">
        <v>225</v>
      </c>
      <c r="F197" s="63">
        <v>29878.639999999999</v>
      </c>
      <c r="G197" s="63">
        <v>37.64</v>
      </c>
      <c r="H197" s="63">
        <v>104.05</v>
      </c>
      <c r="I197" s="63">
        <v>29878.639999999999</v>
      </c>
      <c r="J197" s="63">
        <v>37.64</v>
      </c>
      <c r="K197" s="63">
        <v>104.05</v>
      </c>
    </row>
    <row r="198" spans="1:11">
      <c r="A198" s="59">
        <f t="shared" si="0"/>
        <v>8</v>
      </c>
      <c r="B198" s="60" t="s">
        <v>468</v>
      </c>
      <c r="C198" s="83">
        <v>41635</v>
      </c>
      <c r="D198" s="61" t="s">
        <v>218</v>
      </c>
      <c r="E198" s="65" t="s">
        <v>226</v>
      </c>
      <c r="F198" s="63">
        <v>42909.42</v>
      </c>
      <c r="G198" s="63">
        <v>101.64</v>
      </c>
      <c r="H198" s="63">
        <v>259.14</v>
      </c>
      <c r="I198" s="63">
        <v>42909.42</v>
      </c>
      <c r="J198" s="63">
        <v>101.64</v>
      </c>
      <c r="K198" s="63">
        <v>259.14</v>
      </c>
    </row>
    <row r="199" spans="1:11">
      <c r="A199" s="59">
        <f t="shared" si="0"/>
        <v>9</v>
      </c>
      <c r="B199" s="60" t="s">
        <v>468</v>
      </c>
      <c r="C199" s="83">
        <v>41635</v>
      </c>
      <c r="D199" s="61" t="s">
        <v>218</v>
      </c>
      <c r="E199" s="65" t="s">
        <v>228</v>
      </c>
      <c r="F199" s="63">
        <v>21475.54</v>
      </c>
      <c r="G199" s="63">
        <v>11.88</v>
      </c>
      <c r="H199" s="63">
        <v>51.76</v>
      </c>
      <c r="I199" s="63">
        <v>21475.54</v>
      </c>
      <c r="J199" s="63">
        <v>11.88</v>
      </c>
      <c r="K199" s="63">
        <v>51.76</v>
      </c>
    </row>
    <row r="200" spans="1:11">
      <c r="A200" s="59">
        <f t="shared" si="0"/>
        <v>10</v>
      </c>
      <c r="B200" s="60" t="s">
        <v>468</v>
      </c>
      <c r="C200" s="83">
        <v>41635</v>
      </c>
      <c r="D200" s="61" t="s">
        <v>218</v>
      </c>
      <c r="E200" s="65" t="s">
        <v>229</v>
      </c>
      <c r="F200" s="63">
        <v>55760.58</v>
      </c>
      <c r="G200" s="63">
        <v>125.62</v>
      </c>
      <c r="H200" s="63">
        <v>248.73</v>
      </c>
      <c r="I200" s="63">
        <v>55760.58</v>
      </c>
      <c r="J200" s="63">
        <v>125.62</v>
      </c>
      <c r="K200" s="63">
        <v>248.73</v>
      </c>
    </row>
    <row r="201" spans="1:11">
      <c r="A201" s="59">
        <f t="shared" si="0"/>
        <v>11</v>
      </c>
      <c r="B201" s="60" t="s">
        <v>468</v>
      </c>
      <c r="C201" s="83">
        <v>41635</v>
      </c>
      <c r="D201" s="61" t="s">
        <v>218</v>
      </c>
      <c r="E201" s="65" t="s">
        <v>230</v>
      </c>
      <c r="F201" s="63">
        <v>169118.19</v>
      </c>
      <c r="G201" s="63">
        <v>96.65</v>
      </c>
      <c r="H201" s="63">
        <v>481.02</v>
      </c>
      <c r="I201" s="63">
        <v>169118.19</v>
      </c>
      <c r="J201" s="63">
        <v>96.65</v>
      </c>
      <c r="K201" s="63">
        <v>481.02</v>
      </c>
    </row>
    <row r="202" spans="1:11">
      <c r="A202" s="59">
        <f t="shared" si="0"/>
        <v>12</v>
      </c>
      <c r="B202" s="60" t="s">
        <v>468</v>
      </c>
      <c r="C202" s="83">
        <v>41635</v>
      </c>
      <c r="D202" s="61" t="s">
        <v>218</v>
      </c>
      <c r="E202" s="65" t="s">
        <v>231</v>
      </c>
      <c r="F202" s="63">
        <v>52833.41</v>
      </c>
      <c r="G202" s="63">
        <v>53.15</v>
      </c>
      <c r="H202" s="63">
        <v>196.24</v>
      </c>
      <c r="I202" s="63">
        <v>52833.41</v>
      </c>
      <c r="J202" s="63">
        <v>53.15</v>
      </c>
      <c r="K202" s="63">
        <v>196.24</v>
      </c>
    </row>
    <row r="203" spans="1:11">
      <c r="A203" s="59">
        <f t="shared" si="0"/>
        <v>13</v>
      </c>
      <c r="B203" s="60" t="s">
        <v>468</v>
      </c>
      <c r="C203" s="83">
        <v>41635</v>
      </c>
      <c r="D203" s="61" t="s">
        <v>218</v>
      </c>
      <c r="E203" s="65" t="s">
        <v>232</v>
      </c>
      <c r="F203" s="63">
        <v>75057.679999999993</v>
      </c>
      <c r="G203" s="63">
        <v>66.88</v>
      </c>
      <c r="H203" s="63">
        <v>240.83</v>
      </c>
      <c r="I203" s="63">
        <v>75057.679999999993</v>
      </c>
      <c r="J203" s="63">
        <v>66.88</v>
      </c>
      <c r="K203" s="63">
        <v>240.83</v>
      </c>
    </row>
    <row r="204" spans="1:11">
      <c r="A204" s="59">
        <f t="shared" si="0"/>
        <v>14</v>
      </c>
      <c r="B204" s="60" t="s">
        <v>468</v>
      </c>
      <c r="C204" s="83">
        <v>41635</v>
      </c>
      <c r="D204" s="61" t="s">
        <v>218</v>
      </c>
      <c r="E204" s="65" t="s">
        <v>233</v>
      </c>
      <c r="F204" s="63">
        <v>24598.27</v>
      </c>
      <c r="G204" s="63">
        <v>69.95</v>
      </c>
      <c r="H204" s="63">
        <v>136.19999999999999</v>
      </c>
      <c r="I204" s="63">
        <v>24598.27</v>
      </c>
      <c r="J204" s="63">
        <v>69.95</v>
      </c>
      <c r="K204" s="63">
        <v>136.19999999999999</v>
      </c>
    </row>
    <row r="205" spans="1:11">
      <c r="A205" s="59">
        <f t="shared" si="0"/>
        <v>15</v>
      </c>
      <c r="B205" s="60" t="s">
        <v>468</v>
      </c>
      <c r="C205" s="83">
        <v>41635</v>
      </c>
      <c r="D205" s="61" t="s">
        <v>218</v>
      </c>
      <c r="E205" s="65" t="s">
        <v>234</v>
      </c>
      <c r="F205" s="63">
        <v>95509.46</v>
      </c>
      <c r="G205" s="63">
        <v>83.08</v>
      </c>
      <c r="H205" s="63">
        <v>291.06</v>
      </c>
      <c r="I205" s="63">
        <v>95509.46</v>
      </c>
      <c r="J205" s="63">
        <v>83.08</v>
      </c>
      <c r="K205" s="63">
        <v>291.06</v>
      </c>
    </row>
    <row r="206" spans="1:11">
      <c r="A206" s="59">
        <f t="shared" si="0"/>
        <v>16</v>
      </c>
      <c r="B206" s="60" t="s">
        <v>468</v>
      </c>
      <c r="C206" s="83">
        <v>41635</v>
      </c>
      <c r="D206" s="61" t="s">
        <v>218</v>
      </c>
      <c r="E206" s="65" t="s">
        <v>235</v>
      </c>
      <c r="F206" s="63">
        <v>639429.47</v>
      </c>
      <c r="G206" s="63">
        <v>40.35</v>
      </c>
      <c r="H206" s="63">
        <v>1014.9</v>
      </c>
      <c r="I206" s="63">
        <v>639429.47</v>
      </c>
      <c r="J206" s="63">
        <v>40.35</v>
      </c>
      <c r="K206" s="63">
        <v>1014.9</v>
      </c>
    </row>
    <row r="207" spans="1:11">
      <c r="A207" s="59">
        <f t="shared" si="0"/>
        <v>17</v>
      </c>
      <c r="B207" s="60" t="s">
        <v>468</v>
      </c>
      <c r="C207" s="83">
        <v>41635</v>
      </c>
      <c r="D207" s="61" t="s">
        <v>218</v>
      </c>
      <c r="E207" s="65" t="s">
        <v>237</v>
      </c>
      <c r="F207" s="63">
        <v>42906.85</v>
      </c>
      <c r="G207" s="63">
        <v>141.22999999999999</v>
      </c>
      <c r="H207" s="63">
        <v>282</v>
      </c>
      <c r="I207" s="63">
        <v>42906.85</v>
      </c>
      <c r="J207" s="63">
        <v>141.22999999999999</v>
      </c>
      <c r="K207" s="63">
        <v>282</v>
      </c>
    </row>
    <row r="208" spans="1:11">
      <c r="A208" s="59">
        <f t="shared" si="0"/>
        <v>18</v>
      </c>
      <c r="B208" s="60" t="s">
        <v>468</v>
      </c>
      <c r="C208" s="83">
        <v>41635</v>
      </c>
      <c r="D208" s="61" t="s">
        <v>218</v>
      </c>
      <c r="E208" s="65" t="s">
        <v>236</v>
      </c>
      <c r="F208" s="63">
        <v>20186.349999999999</v>
      </c>
      <c r="G208" s="63">
        <v>74.38</v>
      </c>
      <c r="H208" s="63">
        <v>116.8</v>
      </c>
      <c r="I208" s="63">
        <v>20186.349999999999</v>
      </c>
      <c r="J208" s="63">
        <v>74.38</v>
      </c>
      <c r="K208" s="63">
        <v>116.8</v>
      </c>
    </row>
    <row r="209" spans="1:11">
      <c r="A209" s="59">
        <f t="shared" si="0"/>
        <v>19</v>
      </c>
      <c r="B209" s="60" t="s">
        <v>468</v>
      </c>
      <c r="C209" s="83">
        <v>41635</v>
      </c>
      <c r="D209" s="61" t="s">
        <v>218</v>
      </c>
      <c r="E209" s="65" t="s">
        <v>394</v>
      </c>
      <c r="F209" s="63">
        <v>122171.09</v>
      </c>
      <c r="G209" s="63">
        <v>151.47999999999999</v>
      </c>
      <c r="H209" s="63">
        <v>809.41</v>
      </c>
      <c r="I209" s="63">
        <v>122171.09</v>
      </c>
      <c r="J209" s="63">
        <v>151.47999999999999</v>
      </c>
      <c r="K209" s="63">
        <v>809.41</v>
      </c>
    </row>
    <row r="210" spans="1:11">
      <c r="A210" s="59">
        <f t="shared" si="0"/>
        <v>20</v>
      </c>
      <c r="B210" s="60" t="s">
        <v>468</v>
      </c>
      <c r="C210" s="83">
        <v>41635</v>
      </c>
      <c r="D210" s="61" t="s">
        <v>218</v>
      </c>
      <c r="E210" s="65" t="s">
        <v>238</v>
      </c>
      <c r="F210" s="63">
        <v>217010.88</v>
      </c>
      <c r="G210" s="63">
        <v>201.12</v>
      </c>
      <c r="H210" s="63">
        <v>747.76</v>
      </c>
      <c r="I210" s="63">
        <v>217010.88</v>
      </c>
      <c r="J210" s="63">
        <v>201.12</v>
      </c>
      <c r="K210" s="63">
        <v>747.76</v>
      </c>
    </row>
    <row r="211" spans="1:11">
      <c r="A211" s="59">
        <f t="shared" si="0"/>
        <v>21</v>
      </c>
      <c r="B211" s="60" t="s">
        <v>468</v>
      </c>
      <c r="C211" s="83">
        <v>41635</v>
      </c>
      <c r="D211" s="61" t="s">
        <v>218</v>
      </c>
      <c r="E211" s="65" t="s">
        <v>239</v>
      </c>
      <c r="F211" s="63">
        <v>178236.82</v>
      </c>
      <c r="G211" s="63">
        <v>110.6</v>
      </c>
      <c r="H211" s="63">
        <v>956.88</v>
      </c>
      <c r="I211" s="63">
        <v>178236.82</v>
      </c>
      <c r="J211" s="63">
        <v>110.6</v>
      </c>
      <c r="K211" s="63">
        <v>956.88</v>
      </c>
    </row>
    <row r="212" spans="1:11">
      <c r="A212" s="59">
        <f t="shared" si="0"/>
        <v>22</v>
      </c>
      <c r="B212" s="60" t="s">
        <v>468</v>
      </c>
      <c r="C212" s="83">
        <v>41635</v>
      </c>
      <c r="D212" s="61" t="s">
        <v>218</v>
      </c>
      <c r="E212" s="65" t="s">
        <v>240</v>
      </c>
      <c r="F212" s="63">
        <v>24128.21</v>
      </c>
      <c r="G212" s="63">
        <v>39.6</v>
      </c>
      <c r="H212" s="63">
        <v>86.47</v>
      </c>
      <c r="I212" s="63">
        <v>24128.21</v>
      </c>
      <c r="J212" s="63">
        <v>39.6</v>
      </c>
      <c r="K212" s="63">
        <v>86.47</v>
      </c>
    </row>
    <row r="213" spans="1:11">
      <c r="A213" s="95" t="s">
        <v>241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7"/>
    </row>
    <row r="214" spans="1:11" ht="25.5">
      <c r="A214" s="59">
        <v>1</v>
      </c>
      <c r="B214" s="60" t="s">
        <v>469</v>
      </c>
      <c r="C214" s="83">
        <v>41634</v>
      </c>
      <c r="D214" s="61" t="s">
        <v>243</v>
      </c>
      <c r="E214" s="65" t="s">
        <v>244</v>
      </c>
      <c r="F214" s="63">
        <v>261708.503</v>
      </c>
      <c r="G214" s="63">
        <v>209.988</v>
      </c>
      <c r="H214" s="63">
        <v>717.54700000000003</v>
      </c>
      <c r="I214" s="63">
        <v>264831.06300000002</v>
      </c>
      <c r="J214" s="63">
        <v>241.114</v>
      </c>
      <c r="K214" s="63">
        <v>735.89300000000003</v>
      </c>
    </row>
    <row r="215" spans="1:11" ht="25.5">
      <c r="A215" s="59">
        <v>2</v>
      </c>
      <c r="B215" s="60" t="s">
        <v>469</v>
      </c>
      <c r="C215" s="83">
        <v>41634</v>
      </c>
      <c r="D215" s="61" t="s">
        <v>243</v>
      </c>
      <c r="E215" s="62" t="s">
        <v>245</v>
      </c>
      <c r="F215" s="63">
        <v>133219.80499999999</v>
      </c>
      <c r="G215" s="63">
        <v>34.197000000000003</v>
      </c>
      <c r="H215" s="63">
        <v>305.51299999999998</v>
      </c>
      <c r="I215" s="63">
        <v>137159.894</v>
      </c>
      <c r="J215" s="63">
        <v>43.274000000000001</v>
      </c>
      <c r="K215" s="63">
        <v>322.51799999999997</v>
      </c>
    </row>
    <row r="216" spans="1:11" ht="38.25">
      <c r="A216" s="59">
        <v>3</v>
      </c>
      <c r="B216" s="60" t="s">
        <v>469</v>
      </c>
      <c r="C216" s="83">
        <v>41634</v>
      </c>
      <c r="D216" s="61" t="s">
        <v>243</v>
      </c>
      <c r="E216" s="62" t="s">
        <v>246</v>
      </c>
      <c r="F216" s="63">
        <v>78069.356</v>
      </c>
      <c r="G216" s="63">
        <v>100.53400000000001</v>
      </c>
      <c r="H216" s="63">
        <v>269.29700000000003</v>
      </c>
      <c r="I216" s="63">
        <v>78571.240000000005</v>
      </c>
      <c r="J216" s="63">
        <v>98.506</v>
      </c>
      <c r="K216" s="63">
        <v>263.31599999999997</v>
      </c>
    </row>
    <row r="217" spans="1:11" ht="38.25">
      <c r="A217" s="59">
        <v>4</v>
      </c>
      <c r="B217" s="60" t="s">
        <v>469</v>
      </c>
      <c r="C217" s="83">
        <v>41634</v>
      </c>
      <c r="D217" s="61" t="s">
        <v>243</v>
      </c>
      <c r="E217" s="62" t="s">
        <v>247</v>
      </c>
      <c r="F217" s="63">
        <v>332478.58100000001</v>
      </c>
      <c r="G217" s="63">
        <v>19.209</v>
      </c>
      <c r="H217" s="63">
        <v>797.54300000000001</v>
      </c>
      <c r="I217" s="63">
        <v>333046.07199999999</v>
      </c>
      <c r="J217" s="63">
        <v>26.57</v>
      </c>
      <c r="K217" s="63">
        <v>658.98800000000006</v>
      </c>
    </row>
    <row r="218" spans="1:11" ht="25.5">
      <c r="A218" s="59">
        <v>5</v>
      </c>
      <c r="B218" s="60" t="s">
        <v>469</v>
      </c>
      <c r="C218" s="83">
        <v>41634</v>
      </c>
      <c r="D218" s="61" t="s">
        <v>243</v>
      </c>
      <c r="E218" s="62" t="s">
        <v>249</v>
      </c>
      <c r="F218" s="63">
        <v>27009.484</v>
      </c>
      <c r="G218" s="63">
        <v>30.106000000000002</v>
      </c>
      <c r="H218" s="63">
        <v>95.968000000000004</v>
      </c>
      <c r="I218" s="63">
        <v>27009.484</v>
      </c>
      <c r="J218" s="63">
        <v>31.724</v>
      </c>
      <c r="K218" s="63">
        <v>93.057000000000002</v>
      </c>
    </row>
    <row r="219" spans="1:11" ht="25.5">
      <c r="A219" s="59">
        <v>6</v>
      </c>
      <c r="B219" s="60" t="s">
        <v>469</v>
      </c>
      <c r="C219" s="83">
        <v>41634</v>
      </c>
      <c r="D219" s="61" t="s">
        <v>243</v>
      </c>
      <c r="E219" s="62" t="s">
        <v>248</v>
      </c>
      <c r="F219" s="63">
        <v>39320.692999999999</v>
      </c>
      <c r="G219" s="63">
        <v>138.75299999999999</v>
      </c>
      <c r="H219" s="63">
        <v>810.66300000000001</v>
      </c>
      <c r="I219" s="63">
        <v>39320.692999999999</v>
      </c>
      <c r="J219" s="63">
        <v>154.75899999999999</v>
      </c>
      <c r="K219" s="63">
        <v>826.66800000000001</v>
      </c>
    </row>
    <row r="220" spans="1:11" ht="25.5">
      <c r="A220" s="59">
        <v>7</v>
      </c>
      <c r="B220" s="60" t="s">
        <v>469</v>
      </c>
      <c r="C220" s="83">
        <v>41634</v>
      </c>
      <c r="D220" s="61" t="s">
        <v>243</v>
      </c>
      <c r="E220" s="62" t="s">
        <v>253</v>
      </c>
      <c r="F220" s="63">
        <v>18242.008000000002</v>
      </c>
      <c r="G220" s="63">
        <v>25.975999999999999</v>
      </c>
      <c r="H220" s="63">
        <v>79.212000000000003</v>
      </c>
      <c r="I220" s="63">
        <v>18242.008000000002</v>
      </c>
      <c r="J220" s="63">
        <v>28.684999999999999</v>
      </c>
      <c r="K220" s="63">
        <v>81.105999999999995</v>
      </c>
    </row>
    <row r="221" spans="1:11" ht="25.5">
      <c r="A221" s="59">
        <v>8</v>
      </c>
      <c r="B221" s="60" t="s">
        <v>469</v>
      </c>
      <c r="C221" s="83">
        <v>41634</v>
      </c>
      <c r="D221" s="61" t="s">
        <v>243</v>
      </c>
      <c r="E221" s="62" t="s">
        <v>250</v>
      </c>
      <c r="F221" s="63">
        <v>55506.716</v>
      </c>
      <c r="G221" s="63">
        <v>158.66499999999999</v>
      </c>
      <c r="H221" s="63">
        <v>409.07900000000001</v>
      </c>
      <c r="I221" s="63">
        <v>55506.716</v>
      </c>
      <c r="J221" s="63">
        <v>176.96799999999999</v>
      </c>
      <c r="K221" s="63">
        <v>427.38099999999997</v>
      </c>
    </row>
    <row r="222" spans="1:11" ht="25.5">
      <c r="A222" s="59">
        <v>9</v>
      </c>
      <c r="B222" s="60" t="s">
        <v>469</v>
      </c>
      <c r="C222" s="83">
        <v>41634</v>
      </c>
      <c r="D222" s="61" t="s">
        <v>243</v>
      </c>
      <c r="E222" s="62" t="s">
        <v>251</v>
      </c>
      <c r="F222" s="63">
        <v>62305.618999999999</v>
      </c>
      <c r="G222" s="63">
        <v>15.74</v>
      </c>
      <c r="H222" s="63">
        <v>317.065</v>
      </c>
      <c r="I222" s="63">
        <v>62305.618999999999</v>
      </c>
      <c r="J222" s="63">
        <v>17.43</v>
      </c>
      <c r="K222" s="63">
        <v>318.73500000000001</v>
      </c>
    </row>
    <row r="223" spans="1:11" ht="25.5">
      <c r="A223" s="59">
        <v>10</v>
      </c>
      <c r="B223" s="60" t="s">
        <v>469</v>
      </c>
      <c r="C223" s="83">
        <v>41634</v>
      </c>
      <c r="D223" s="61" t="s">
        <v>243</v>
      </c>
      <c r="E223" s="62" t="s">
        <v>252</v>
      </c>
      <c r="F223" s="63">
        <v>239831.84099999999</v>
      </c>
      <c r="G223" s="63">
        <v>66.536000000000001</v>
      </c>
      <c r="H223" s="63">
        <v>1018.003</v>
      </c>
      <c r="I223" s="63">
        <v>217960.53200000001</v>
      </c>
      <c r="J223" s="63">
        <v>70.86</v>
      </c>
      <c r="K223" s="63">
        <v>963.16899999999998</v>
      </c>
    </row>
    <row r="224" spans="1:11" ht="25.5">
      <c r="A224" s="59">
        <v>11</v>
      </c>
      <c r="B224" s="60" t="s">
        <v>469</v>
      </c>
      <c r="C224" s="83">
        <v>41634</v>
      </c>
      <c r="D224" s="61" t="s">
        <v>243</v>
      </c>
      <c r="E224" s="62" t="s">
        <v>254</v>
      </c>
      <c r="F224" s="63">
        <v>20790.391</v>
      </c>
      <c r="G224" s="63">
        <v>21.498000000000001</v>
      </c>
      <c r="H224" s="63">
        <v>49.612000000000002</v>
      </c>
      <c r="I224" s="63">
        <v>17693.95</v>
      </c>
      <c r="J224" s="63">
        <v>24.087</v>
      </c>
      <c r="K224" s="63">
        <v>48.552999999999997</v>
      </c>
    </row>
    <row r="225" spans="1:11" ht="25.5">
      <c r="A225" s="59">
        <v>12</v>
      </c>
      <c r="B225" s="60" t="s">
        <v>469</v>
      </c>
      <c r="C225" s="83">
        <v>41634</v>
      </c>
      <c r="D225" s="61" t="s">
        <v>243</v>
      </c>
      <c r="E225" s="62" t="s">
        <v>255</v>
      </c>
      <c r="F225" s="63">
        <v>27358.632000000001</v>
      </c>
      <c r="G225" s="63">
        <v>66.436999999999998</v>
      </c>
      <c r="H225" s="63">
        <v>203.185</v>
      </c>
      <c r="I225" s="63">
        <v>27358.632000000001</v>
      </c>
      <c r="J225" s="63">
        <v>74.100999999999999</v>
      </c>
      <c r="K225" s="63">
        <v>210.84800000000001</v>
      </c>
    </row>
    <row r="226" spans="1:11" ht="25.5">
      <c r="A226" s="59">
        <v>13</v>
      </c>
      <c r="B226" s="60" t="s">
        <v>469</v>
      </c>
      <c r="C226" s="83">
        <v>41634</v>
      </c>
      <c r="D226" s="61" t="s">
        <v>243</v>
      </c>
      <c r="E226" s="62" t="s">
        <v>256</v>
      </c>
      <c r="F226" s="63">
        <v>38936.353999999999</v>
      </c>
      <c r="G226" s="63">
        <v>91.11</v>
      </c>
      <c r="H226" s="63">
        <v>332.322</v>
      </c>
      <c r="I226" s="63">
        <v>40657.574999999997</v>
      </c>
      <c r="J226" s="63">
        <v>101.121</v>
      </c>
      <c r="K226" s="63">
        <v>336.80900000000003</v>
      </c>
    </row>
    <row r="227" spans="1:11" ht="25.5">
      <c r="A227" s="59">
        <v>14</v>
      </c>
      <c r="B227" s="60" t="s">
        <v>469</v>
      </c>
      <c r="C227" s="83">
        <v>41634</v>
      </c>
      <c r="D227" s="61" t="s">
        <v>243</v>
      </c>
      <c r="E227" s="62" t="s">
        <v>257</v>
      </c>
      <c r="F227" s="63">
        <v>125053.773</v>
      </c>
      <c r="G227" s="63">
        <v>53.061</v>
      </c>
      <c r="H227" s="63">
        <v>914.73099999999999</v>
      </c>
      <c r="I227" s="63">
        <v>125053.773</v>
      </c>
      <c r="J227" s="63">
        <v>59.182000000000002</v>
      </c>
      <c r="K227" s="63">
        <v>920.85199999999998</v>
      </c>
    </row>
    <row r="228" spans="1:11" ht="25.5">
      <c r="A228" s="59">
        <v>15</v>
      </c>
      <c r="B228" s="60" t="s">
        <v>469</v>
      </c>
      <c r="C228" s="83">
        <v>41634</v>
      </c>
      <c r="D228" s="61" t="s">
        <v>243</v>
      </c>
      <c r="E228" s="62" t="s">
        <v>260</v>
      </c>
      <c r="F228" s="63">
        <v>120268.32</v>
      </c>
      <c r="G228" s="63">
        <v>102.934</v>
      </c>
      <c r="H228" s="63">
        <v>1112.2380000000001</v>
      </c>
      <c r="I228" s="63">
        <v>120268.32</v>
      </c>
      <c r="J228" s="63">
        <v>114.807</v>
      </c>
      <c r="K228" s="63">
        <v>869.85900000000004</v>
      </c>
    </row>
    <row r="229" spans="1:11" ht="25.5">
      <c r="A229" s="59">
        <v>16</v>
      </c>
      <c r="B229" s="60" t="s">
        <v>469</v>
      </c>
      <c r="C229" s="83">
        <v>41634</v>
      </c>
      <c r="D229" s="61" t="s">
        <v>243</v>
      </c>
      <c r="E229" s="62" t="s">
        <v>258</v>
      </c>
      <c r="F229" s="63">
        <v>107377.17200000001</v>
      </c>
      <c r="G229" s="63">
        <v>85.09</v>
      </c>
      <c r="H229" s="63">
        <v>743.25800000000004</v>
      </c>
      <c r="I229" s="63">
        <v>107377.17200000001</v>
      </c>
      <c r="J229" s="63">
        <v>85.884</v>
      </c>
      <c r="K229" s="63">
        <v>741.053</v>
      </c>
    </row>
    <row r="230" spans="1:11" ht="25.5">
      <c r="A230" s="59">
        <v>17</v>
      </c>
      <c r="B230" s="60" t="s">
        <v>469</v>
      </c>
      <c r="C230" s="83">
        <v>41634</v>
      </c>
      <c r="D230" s="61" t="s">
        <v>243</v>
      </c>
      <c r="E230" s="62" t="s">
        <v>259</v>
      </c>
      <c r="F230" s="63">
        <v>235803.68900000001</v>
      </c>
      <c r="G230" s="63">
        <v>176.476</v>
      </c>
      <c r="H230" s="63">
        <v>819.86900000000003</v>
      </c>
      <c r="I230" s="63">
        <v>275942.91700000002</v>
      </c>
      <c r="J230" s="63">
        <v>196.96700000000001</v>
      </c>
      <c r="K230" s="63">
        <v>948.44</v>
      </c>
    </row>
    <row r="231" spans="1:11" ht="25.5">
      <c r="A231" s="59">
        <v>18</v>
      </c>
      <c r="B231" s="60" t="s">
        <v>519</v>
      </c>
      <c r="C231" s="83">
        <v>41634</v>
      </c>
      <c r="D231" s="61" t="s">
        <v>243</v>
      </c>
      <c r="E231" s="62" t="s">
        <v>261</v>
      </c>
      <c r="F231" s="63">
        <v>103857.29999999999</v>
      </c>
      <c r="G231" s="63">
        <v>93.75</v>
      </c>
      <c r="H231" s="63">
        <v>332.78999999999996</v>
      </c>
      <c r="I231" s="63">
        <v>103857.29999999999</v>
      </c>
      <c r="J231" s="63">
        <v>104.56</v>
      </c>
      <c r="K231" s="63">
        <v>343.61</v>
      </c>
    </row>
    <row r="232" spans="1:11">
      <c r="A232" s="95" t="s">
        <v>262</v>
      </c>
      <c r="B232" s="96"/>
      <c r="C232" s="96"/>
      <c r="D232" s="96"/>
      <c r="E232" s="96"/>
      <c r="F232" s="96"/>
      <c r="G232" s="96"/>
      <c r="H232" s="96"/>
      <c r="I232" s="96"/>
      <c r="J232" s="96"/>
      <c r="K232" s="97"/>
    </row>
    <row r="233" spans="1:11" ht="24">
      <c r="A233" s="59">
        <v>1</v>
      </c>
      <c r="B233" s="60" t="s">
        <v>470</v>
      </c>
      <c r="C233" s="72" t="s">
        <v>56</v>
      </c>
      <c r="D233" s="77" t="s">
        <v>264</v>
      </c>
      <c r="E233" s="62" t="s">
        <v>266</v>
      </c>
      <c r="F233" s="63">
        <f>34.09379*1000</f>
        <v>34093.79</v>
      </c>
      <c r="G233" s="63">
        <f>0.02023*1000</f>
        <v>20.23</v>
      </c>
      <c r="H233" s="63">
        <v>9.9979999999999999E-2</v>
      </c>
      <c r="I233" s="63">
        <f>34.09379*1000</f>
        <v>34093.79</v>
      </c>
      <c r="J233" s="63">
        <f>0.02023*1000</f>
        <v>20.23</v>
      </c>
      <c r="K233" s="63">
        <f>0.09998*1000</f>
        <v>99.98</v>
      </c>
    </row>
    <row r="234" spans="1:11" ht="24">
      <c r="A234" s="59">
        <v>2</v>
      </c>
      <c r="B234" s="60" t="s">
        <v>470</v>
      </c>
      <c r="C234" s="83">
        <v>41628</v>
      </c>
      <c r="D234" s="77" t="s">
        <v>264</v>
      </c>
      <c r="E234" s="62" t="s">
        <v>267</v>
      </c>
      <c r="F234" s="63">
        <f>17.5099*1000</f>
        <v>17509.899999999998</v>
      </c>
      <c r="G234" s="63">
        <f>0.03076*1000</f>
        <v>30.759999999999998</v>
      </c>
      <c r="H234" s="63">
        <v>7.5069999999999998E-2</v>
      </c>
      <c r="I234" s="63">
        <f>17.5099*1000</f>
        <v>17509.899999999998</v>
      </c>
      <c r="J234" s="63">
        <f>0.03076*1000</f>
        <v>30.759999999999998</v>
      </c>
      <c r="K234" s="63">
        <f>0.07507*1000</f>
        <v>75.069999999999993</v>
      </c>
    </row>
    <row r="235" spans="1:11" ht="24">
      <c r="A235" s="59">
        <v>3</v>
      </c>
      <c r="B235" s="60" t="s">
        <v>470</v>
      </c>
      <c r="C235" s="72" t="s">
        <v>56</v>
      </c>
      <c r="D235" s="77" t="s">
        <v>265</v>
      </c>
      <c r="E235" s="86" t="s">
        <v>268</v>
      </c>
      <c r="F235" s="63">
        <f>105.61395*1000</f>
        <v>105613.95</v>
      </c>
      <c r="G235" s="63">
        <f>0.03682*1000</f>
        <v>36.82</v>
      </c>
      <c r="H235" s="63">
        <v>0.26734999999999998</v>
      </c>
      <c r="I235" s="63">
        <f>105.61395*1000</f>
        <v>105613.95</v>
      </c>
      <c r="J235" s="63">
        <f>0.03682*1000</f>
        <v>36.82</v>
      </c>
      <c r="K235" s="63">
        <f>0.26735*1000</f>
        <v>267.34999999999997</v>
      </c>
    </row>
    <row r="236" spans="1:11" ht="25.5">
      <c r="A236" s="59">
        <v>4</v>
      </c>
      <c r="B236" s="60" t="s">
        <v>470</v>
      </c>
      <c r="C236" s="83">
        <v>41628</v>
      </c>
      <c r="D236" s="77" t="s">
        <v>265</v>
      </c>
      <c r="E236" s="62" t="s">
        <v>273</v>
      </c>
      <c r="F236" s="63">
        <f>240.82947*1000</f>
        <v>240829.46999999997</v>
      </c>
      <c r="G236" s="63">
        <f>0.06362*1000</f>
        <v>63.62</v>
      </c>
      <c r="H236" s="63">
        <v>0.66510000000000002</v>
      </c>
      <c r="I236" s="63">
        <f>253.39517*1000</f>
        <v>253395.17</v>
      </c>
      <c r="J236" s="63">
        <f>0.06358*1000</f>
        <v>63.58</v>
      </c>
      <c r="K236" s="63">
        <f>0.68818*1000</f>
        <v>688.18000000000006</v>
      </c>
    </row>
    <row r="237" spans="1:11" ht="24">
      <c r="A237" s="59">
        <v>5</v>
      </c>
      <c r="B237" s="60" t="s">
        <v>470</v>
      </c>
      <c r="C237" s="72" t="s">
        <v>56</v>
      </c>
      <c r="D237" s="77" t="s">
        <v>265</v>
      </c>
      <c r="E237" s="62" t="s">
        <v>271</v>
      </c>
      <c r="F237" s="63">
        <f>32.76212*1000</f>
        <v>32762.120000000003</v>
      </c>
      <c r="G237" s="63">
        <f>0.02702*1000</f>
        <v>27.02</v>
      </c>
      <c r="H237" s="63">
        <v>0.87309999999999999</v>
      </c>
      <c r="I237" s="63">
        <f>32.76212*1000</f>
        <v>32762.120000000003</v>
      </c>
      <c r="J237" s="63">
        <f>0.02702*1000</f>
        <v>27.02</v>
      </c>
      <c r="K237" s="63">
        <f>0.8731*1000</f>
        <v>873.1</v>
      </c>
    </row>
    <row r="238" spans="1:11" ht="38.25">
      <c r="A238" s="59">
        <v>6</v>
      </c>
      <c r="B238" s="60" t="s">
        <v>470</v>
      </c>
      <c r="C238" s="83">
        <v>41628</v>
      </c>
      <c r="D238" s="77" t="s">
        <v>265</v>
      </c>
      <c r="E238" s="62" t="s">
        <v>272</v>
      </c>
      <c r="F238" s="63">
        <f>305.00165*1000</f>
        <v>305001.64999999997</v>
      </c>
      <c r="G238" s="63">
        <f>0.1127*1000</f>
        <v>112.69999999999999</v>
      </c>
      <c r="H238" s="63">
        <v>0.73028999999999999</v>
      </c>
      <c r="I238" s="63">
        <f>308.89339*1000</f>
        <v>308893.39</v>
      </c>
      <c r="J238" s="63">
        <f>0.1127*1000</f>
        <v>112.69999999999999</v>
      </c>
      <c r="K238" s="63">
        <f>0.73034*1000</f>
        <v>730.34</v>
      </c>
    </row>
    <row r="239" spans="1:11" ht="24">
      <c r="A239" s="59">
        <v>7</v>
      </c>
      <c r="B239" s="60" t="s">
        <v>470</v>
      </c>
      <c r="C239" s="72" t="s">
        <v>56</v>
      </c>
      <c r="D239" s="77" t="s">
        <v>265</v>
      </c>
      <c r="E239" s="62" t="s">
        <v>269</v>
      </c>
      <c r="F239" s="63">
        <f>92.07311*1000</f>
        <v>92073.11</v>
      </c>
      <c r="G239" s="63">
        <f>0.03411*1000</f>
        <v>34.11</v>
      </c>
      <c r="H239" s="63">
        <v>0.67376999999999998</v>
      </c>
      <c r="I239" s="63">
        <f>92.07311*1000</f>
        <v>92073.11</v>
      </c>
      <c r="J239" s="63">
        <f>0.03411*1000</f>
        <v>34.11</v>
      </c>
      <c r="K239" s="63">
        <f>0.67377*1000</f>
        <v>673.77</v>
      </c>
    </row>
    <row r="240" spans="1:11" ht="24">
      <c r="A240" s="59">
        <v>8</v>
      </c>
      <c r="B240" s="60" t="s">
        <v>470</v>
      </c>
      <c r="C240" s="83">
        <v>41628</v>
      </c>
      <c r="D240" s="77" t="s">
        <v>265</v>
      </c>
      <c r="E240" s="62" t="s">
        <v>270</v>
      </c>
      <c r="F240" s="63">
        <f>50.9884*1000</f>
        <v>50988.4</v>
      </c>
      <c r="G240" s="63">
        <f>0.08218*1000</f>
        <v>82.18</v>
      </c>
      <c r="H240" s="63">
        <v>0.20454</v>
      </c>
      <c r="I240" s="63">
        <f>50.9884*1000</f>
        <v>50988.4</v>
      </c>
      <c r="J240" s="63">
        <f>0.08218*1000</f>
        <v>82.18</v>
      </c>
      <c r="K240" s="63">
        <f>0.20454*1000</f>
        <v>204.54</v>
      </c>
    </row>
    <row r="241" spans="1:11" ht="24">
      <c r="A241" s="59">
        <v>9</v>
      </c>
      <c r="B241" s="60" t="s">
        <v>470</v>
      </c>
      <c r="C241" s="72" t="s">
        <v>56</v>
      </c>
      <c r="D241" s="77" t="s">
        <v>265</v>
      </c>
      <c r="E241" s="62" t="s">
        <v>274</v>
      </c>
      <c r="F241" s="63">
        <f>74.84107*1000</f>
        <v>74841.070000000007</v>
      </c>
      <c r="G241" s="63">
        <f>0.11159*1000</f>
        <v>111.58999999999999</v>
      </c>
      <c r="H241" s="63">
        <v>0.28081</v>
      </c>
      <c r="I241" s="63">
        <f>74.84107*1000</f>
        <v>74841.070000000007</v>
      </c>
      <c r="J241" s="63">
        <f>0.11159*1000</f>
        <v>111.58999999999999</v>
      </c>
      <c r="K241" s="63">
        <f>0.28081*1000</f>
        <v>280.81</v>
      </c>
    </row>
    <row r="242" spans="1:11" ht="24">
      <c r="A242" s="59">
        <v>10</v>
      </c>
      <c r="B242" s="60" t="s">
        <v>470</v>
      </c>
      <c r="C242" s="83">
        <v>41628</v>
      </c>
      <c r="D242" s="77" t="s">
        <v>265</v>
      </c>
      <c r="E242" s="62" t="s">
        <v>275</v>
      </c>
      <c r="F242" s="63">
        <f>219.40952*1000</f>
        <v>219409.52</v>
      </c>
      <c r="G242" s="63">
        <f>0.06663*1000</f>
        <v>66.63</v>
      </c>
      <c r="H242" s="63">
        <v>0.72485999999999995</v>
      </c>
      <c r="I242" s="63">
        <f>233.39048*1000</f>
        <v>233390.48</v>
      </c>
      <c r="J242" s="63">
        <f>0.06663*1000</f>
        <v>66.63</v>
      </c>
      <c r="K242" s="63">
        <f>0.7668*1000</f>
        <v>766.80000000000007</v>
      </c>
    </row>
    <row r="243" spans="1:11" ht="25.5">
      <c r="A243" s="59">
        <v>11</v>
      </c>
      <c r="B243" s="60" t="s">
        <v>470</v>
      </c>
      <c r="C243" s="72" t="s">
        <v>56</v>
      </c>
      <c r="D243" s="77" t="s">
        <v>265</v>
      </c>
      <c r="E243" s="62" t="s">
        <v>276</v>
      </c>
      <c r="F243" s="63">
        <f>327.56667*1000</f>
        <v>327566.67</v>
      </c>
      <c r="G243" s="63">
        <f>0.00444*1000</f>
        <v>4.4400000000000004</v>
      </c>
      <c r="H243" s="63">
        <v>1.09633</v>
      </c>
      <c r="I243" s="63">
        <f>327.56667*1000</f>
        <v>327566.67</v>
      </c>
      <c r="J243" s="63">
        <f>0.00444*1000</f>
        <v>4.4400000000000004</v>
      </c>
      <c r="K243" s="63">
        <f>1.09633*1000</f>
        <v>1096.33</v>
      </c>
    </row>
    <row r="244" spans="1:11" ht="25.5">
      <c r="A244" s="59">
        <v>12</v>
      </c>
      <c r="B244" s="60" t="s">
        <v>470</v>
      </c>
      <c r="C244" s="83">
        <v>41628</v>
      </c>
      <c r="D244" s="77" t="s">
        <v>265</v>
      </c>
      <c r="E244" s="62" t="s">
        <v>277</v>
      </c>
      <c r="F244" s="63">
        <f>24.25274*1000</f>
        <v>24252.739999999998</v>
      </c>
      <c r="G244" s="63">
        <f>0.01981*1000</f>
        <v>19.810000000000002</v>
      </c>
      <c r="H244" s="63">
        <v>6.1330000000000003E-2</v>
      </c>
      <c r="I244" s="63">
        <f>24.25274*1000</f>
        <v>24252.739999999998</v>
      </c>
      <c r="J244" s="63">
        <f>0.01981*1000</f>
        <v>19.810000000000002</v>
      </c>
      <c r="K244" s="63">
        <f>0.06133*1000</f>
        <v>61.330000000000005</v>
      </c>
    </row>
    <row r="245" spans="1:11" ht="24">
      <c r="A245" s="59">
        <v>13</v>
      </c>
      <c r="B245" s="60" t="s">
        <v>470</v>
      </c>
      <c r="C245" s="72" t="s">
        <v>56</v>
      </c>
      <c r="D245" s="77" t="s">
        <v>265</v>
      </c>
      <c r="E245" s="62" t="s">
        <v>278</v>
      </c>
      <c r="F245" s="63">
        <f>155.96101*1000</f>
        <v>155961.00999999998</v>
      </c>
      <c r="G245" s="63">
        <f>0.08702*1000</f>
        <v>87.02</v>
      </c>
      <c r="H245" s="63">
        <v>0.52280000000000004</v>
      </c>
      <c r="I245" s="63">
        <f>146.02242*1000</f>
        <v>146022.42000000001</v>
      </c>
      <c r="J245" s="63">
        <f>0.08693*1000</f>
        <v>86.929999999999993</v>
      </c>
      <c r="K245" s="63">
        <f>0.5227*1000</f>
        <v>522.70000000000005</v>
      </c>
    </row>
    <row r="246" spans="1:11" ht="24">
      <c r="A246" s="59">
        <v>14</v>
      </c>
      <c r="B246" s="60" t="s">
        <v>470</v>
      </c>
      <c r="C246" s="83">
        <v>41628</v>
      </c>
      <c r="D246" s="77" t="s">
        <v>265</v>
      </c>
      <c r="E246" s="62" t="s">
        <v>279</v>
      </c>
      <c r="F246" s="63">
        <f>172.71026*1000</f>
        <v>172710.26</v>
      </c>
      <c r="G246" s="63">
        <f>0.04861*1000</f>
        <v>48.61</v>
      </c>
      <c r="H246" s="63">
        <v>0.31274999999999997</v>
      </c>
      <c r="I246" s="63">
        <f>172.71026*1000</f>
        <v>172710.26</v>
      </c>
      <c r="J246" s="63">
        <f>0.04861*1000</f>
        <v>48.61</v>
      </c>
      <c r="K246" s="63">
        <f>0.31275*1000</f>
        <v>312.75</v>
      </c>
    </row>
    <row r="247" spans="1:11" ht="24">
      <c r="A247" s="59">
        <v>15</v>
      </c>
      <c r="B247" s="60" t="s">
        <v>470</v>
      </c>
      <c r="C247" s="72" t="s">
        <v>56</v>
      </c>
      <c r="D247" s="77" t="s">
        <v>265</v>
      </c>
      <c r="E247" s="62" t="s">
        <v>280</v>
      </c>
      <c r="F247" s="63">
        <f>74.54829*1000</f>
        <v>74548.289999999994</v>
      </c>
      <c r="G247" s="63">
        <f>0.04727*1000</f>
        <v>47.269999999999996</v>
      </c>
      <c r="H247" s="63">
        <v>0.46994000000000002</v>
      </c>
      <c r="I247" s="63">
        <f>79.29385*1000</f>
        <v>79293.850000000006</v>
      </c>
      <c r="J247" s="63">
        <f>0.04727*1000</f>
        <v>47.269999999999996</v>
      </c>
      <c r="K247" s="63">
        <f>0.49685*1000</f>
        <v>496.85</v>
      </c>
    </row>
    <row r="248" spans="1:11" ht="24">
      <c r="A248" s="59">
        <v>16</v>
      </c>
      <c r="B248" s="60" t="s">
        <v>470</v>
      </c>
      <c r="C248" s="83">
        <v>41628</v>
      </c>
      <c r="D248" s="77" t="s">
        <v>265</v>
      </c>
      <c r="E248" s="62" t="s">
        <v>281</v>
      </c>
      <c r="F248" s="63">
        <f>544.0113*1000</f>
        <v>544011.30000000005</v>
      </c>
      <c r="G248" s="63">
        <f>0.15768*1000</f>
        <v>157.67999999999998</v>
      </c>
      <c r="H248" s="63">
        <v>1.4626399999999999</v>
      </c>
      <c r="I248" s="63">
        <f>524.75419*1000</f>
        <v>524754.18999999994</v>
      </c>
      <c r="J248" s="63">
        <f>0.15768*1000</f>
        <v>157.67999999999998</v>
      </c>
      <c r="K248" s="63">
        <f>1.46264*1000</f>
        <v>1462.6399999999999</v>
      </c>
    </row>
    <row r="249" spans="1:11" ht="24">
      <c r="A249" s="59">
        <v>17</v>
      </c>
      <c r="B249" s="60" t="s">
        <v>470</v>
      </c>
      <c r="C249" s="72" t="s">
        <v>56</v>
      </c>
      <c r="D249" s="77" t="s">
        <v>265</v>
      </c>
      <c r="E249" s="62" t="s">
        <v>282</v>
      </c>
      <c r="F249" s="63">
        <f>109.79327*1000</f>
        <v>109793.27</v>
      </c>
      <c r="G249" s="63">
        <f>0.07804*1000</f>
        <v>78.039999999999992</v>
      </c>
      <c r="H249" s="63">
        <v>0.36753999999999998</v>
      </c>
      <c r="I249" s="63">
        <f>109.79327*1000</f>
        <v>109793.27</v>
      </c>
      <c r="J249" s="63">
        <f>0.07804*1000</f>
        <v>78.039999999999992</v>
      </c>
      <c r="K249" s="63">
        <f>0.36754*1000</f>
        <v>367.53999999999996</v>
      </c>
    </row>
    <row r="250" spans="1:11" ht="24">
      <c r="A250" s="59">
        <v>18</v>
      </c>
      <c r="B250" s="60" t="s">
        <v>470</v>
      </c>
      <c r="C250" s="83">
        <v>41628</v>
      </c>
      <c r="D250" s="77" t="s">
        <v>265</v>
      </c>
      <c r="E250" s="62" t="s">
        <v>283</v>
      </c>
      <c r="F250" s="63">
        <f>580.29565*1000</f>
        <v>580295.65</v>
      </c>
      <c r="G250" s="63">
        <f>0.19465*1000</f>
        <v>194.64999999999998</v>
      </c>
      <c r="H250" s="63">
        <v>1.2205600000000001</v>
      </c>
      <c r="I250" s="63">
        <f>581.6524*1000</f>
        <v>581652.39999999991</v>
      </c>
      <c r="J250" s="63">
        <f>0.19465*1000</f>
        <v>194.64999999999998</v>
      </c>
      <c r="K250" s="63">
        <f>1.22056*1000</f>
        <v>1220.5600000000002</v>
      </c>
    </row>
    <row r="251" spans="1:11" ht="24">
      <c r="A251" s="59">
        <v>19</v>
      </c>
      <c r="B251" s="60" t="s">
        <v>470</v>
      </c>
      <c r="C251" s="72" t="s">
        <v>56</v>
      </c>
      <c r="D251" s="77" t="s">
        <v>265</v>
      </c>
      <c r="E251" s="62" t="s">
        <v>284</v>
      </c>
      <c r="F251" s="63">
        <f>23.93968*1000</f>
        <v>23939.68</v>
      </c>
      <c r="G251" s="63">
        <f>0.04053*1000</f>
        <v>40.529999999999994</v>
      </c>
      <c r="H251" s="63">
        <v>0.20182</v>
      </c>
      <c r="I251" s="63">
        <f>23.93968*1000</f>
        <v>23939.68</v>
      </c>
      <c r="J251" s="63">
        <f>0.04053*1000</f>
        <v>40.529999999999994</v>
      </c>
      <c r="K251" s="63">
        <f>0.20182*1000</f>
        <v>201.82</v>
      </c>
    </row>
    <row r="252" spans="1:11" ht="24">
      <c r="A252" s="59">
        <v>20</v>
      </c>
      <c r="B252" s="60" t="s">
        <v>470</v>
      </c>
      <c r="C252" s="83">
        <v>41628</v>
      </c>
      <c r="D252" s="77" t="s">
        <v>265</v>
      </c>
      <c r="E252" s="62" t="s">
        <v>287</v>
      </c>
      <c r="F252" s="63">
        <f>323.53186*1000</f>
        <v>323531.86</v>
      </c>
      <c r="G252" s="63">
        <f>0.03047*1000</f>
        <v>30.47</v>
      </c>
      <c r="H252" s="63">
        <v>0.80694999999999995</v>
      </c>
      <c r="I252" s="63">
        <f>332.52696*1000</f>
        <v>332526.95999999996</v>
      </c>
      <c r="J252" s="63">
        <f>0.03047*1000</f>
        <v>30.47</v>
      </c>
      <c r="K252" s="63">
        <f>0.82854*1000</f>
        <v>828.54000000000008</v>
      </c>
    </row>
    <row r="253" spans="1:11" ht="25.5">
      <c r="A253" s="59">
        <v>21</v>
      </c>
      <c r="B253" s="60" t="s">
        <v>470</v>
      </c>
      <c r="C253" s="72" t="s">
        <v>56</v>
      </c>
      <c r="D253" s="77" t="s">
        <v>265</v>
      </c>
      <c r="E253" s="62" t="s">
        <v>285</v>
      </c>
      <c r="F253" s="63">
        <f>308.73112*1000</f>
        <v>308731.12</v>
      </c>
      <c r="G253" s="63">
        <f>0.01277*1000</f>
        <v>12.77</v>
      </c>
      <c r="H253" s="63">
        <v>0.32296999999999998</v>
      </c>
      <c r="I253" s="63">
        <f>308.88816*1000</f>
        <v>308888.16000000003</v>
      </c>
      <c r="J253" s="63">
        <f>0.01277*1000</f>
        <v>12.77</v>
      </c>
      <c r="K253" s="63">
        <f>0.33513*1000</f>
        <v>335.13</v>
      </c>
    </row>
    <row r="254" spans="1:11" ht="24">
      <c r="A254" s="59">
        <v>22</v>
      </c>
      <c r="B254" s="60" t="s">
        <v>470</v>
      </c>
      <c r="C254" s="83">
        <v>41628</v>
      </c>
      <c r="D254" s="77" t="s">
        <v>265</v>
      </c>
      <c r="E254" s="62" t="s">
        <v>286</v>
      </c>
      <c r="F254" s="63">
        <f>76.64167*1000</f>
        <v>76641.67</v>
      </c>
      <c r="G254" s="63">
        <f>0.04106*1000</f>
        <v>41.06</v>
      </c>
      <c r="H254" s="63">
        <v>0.19722999999999999</v>
      </c>
      <c r="I254" s="63">
        <f>76.64167*1000</f>
        <v>76641.67</v>
      </c>
      <c r="J254" s="63">
        <f>0.04106*1000</f>
        <v>41.06</v>
      </c>
      <c r="K254" s="63">
        <f>0.19723*1000</f>
        <v>197.23</v>
      </c>
    </row>
    <row r="255" spans="1:11" ht="24">
      <c r="A255" s="59">
        <v>23</v>
      </c>
      <c r="B255" s="60" t="s">
        <v>470</v>
      </c>
      <c r="C255" s="72" t="s">
        <v>56</v>
      </c>
      <c r="D255" s="77" t="s">
        <v>265</v>
      </c>
      <c r="E255" s="62" t="s">
        <v>288</v>
      </c>
      <c r="F255" s="63">
        <f>205.41939*1000</f>
        <v>205419.38999999998</v>
      </c>
      <c r="G255" s="63">
        <f>0.02641*1000</f>
        <v>26.41</v>
      </c>
      <c r="H255" s="63">
        <v>0.39666000000000001</v>
      </c>
      <c r="I255" s="63">
        <f>205.41939*1000</f>
        <v>205419.38999999998</v>
      </c>
      <c r="J255" s="63">
        <f>0.02641*1000</f>
        <v>26.41</v>
      </c>
      <c r="K255" s="63">
        <f>0.39666*1000</f>
        <v>396.66</v>
      </c>
    </row>
    <row r="256" spans="1:11" ht="24">
      <c r="A256" s="59">
        <v>24</v>
      </c>
      <c r="B256" s="60" t="s">
        <v>470</v>
      </c>
      <c r="C256" s="83">
        <v>41628</v>
      </c>
      <c r="D256" s="77" t="s">
        <v>265</v>
      </c>
      <c r="E256" s="62" t="s">
        <v>289</v>
      </c>
      <c r="F256" s="63">
        <f>63.80302*1000</f>
        <v>63803.02</v>
      </c>
      <c r="G256" s="63">
        <f>0.01836*1000</f>
        <v>18.360000000000003</v>
      </c>
      <c r="H256" s="63">
        <v>0.14385000000000001</v>
      </c>
      <c r="I256" s="63">
        <f>63.80302*1000</f>
        <v>63803.02</v>
      </c>
      <c r="J256" s="63">
        <f>0.01836*1000</f>
        <v>18.360000000000003</v>
      </c>
      <c r="K256" s="63">
        <f>0.14385*1000</f>
        <v>143.85</v>
      </c>
    </row>
    <row r="257" spans="1:11" ht="25.5">
      <c r="A257" s="59">
        <v>25</v>
      </c>
      <c r="B257" s="60" t="s">
        <v>470</v>
      </c>
      <c r="C257" s="72" t="s">
        <v>56</v>
      </c>
      <c r="D257" s="77" t="s">
        <v>265</v>
      </c>
      <c r="E257" s="62" t="s">
        <v>518</v>
      </c>
      <c r="F257" s="63">
        <f>344.88317*1000</f>
        <v>344883.17</v>
      </c>
      <c r="G257" s="63">
        <f>0.11016*1000</f>
        <v>110.16</v>
      </c>
      <c r="H257" s="63">
        <v>0.94740999999999997</v>
      </c>
      <c r="I257" s="63">
        <f>344.88317*1000</f>
        <v>344883.17</v>
      </c>
      <c r="J257" s="63">
        <f>0.11016*1000</f>
        <v>110.16</v>
      </c>
      <c r="K257" s="63">
        <f>0.94741*1000</f>
        <v>947.41</v>
      </c>
    </row>
    <row r="258" spans="1:11" ht="25.5">
      <c r="A258" s="59">
        <v>26</v>
      </c>
      <c r="B258" s="60" t="s">
        <v>470</v>
      </c>
      <c r="C258" s="83">
        <v>41628</v>
      </c>
      <c r="D258" s="77" t="s">
        <v>265</v>
      </c>
      <c r="E258" s="62" t="s">
        <v>290</v>
      </c>
      <c r="F258" s="63">
        <f>496.9365*1000</f>
        <v>496936.5</v>
      </c>
      <c r="G258" s="63">
        <f>0.07104*1000</f>
        <v>71.040000000000006</v>
      </c>
      <c r="H258" s="63">
        <v>2.2844799999999998</v>
      </c>
      <c r="I258" s="63">
        <f>471.44508*1000</f>
        <v>471445.08</v>
      </c>
      <c r="J258" s="63">
        <f>0.07103*1000</f>
        <v>71.03</v>
      </c>
      <c r="K258" s="63">
        <f>2.28448*1000</f>
        <v>2284.48</v>
      </c>
    </row>
    <row r="259" spans="1:11" ht="24">
      <c r="A259" s="59">
        <v>27</v>
      </c>
      <c r="B259" s="60" t="s">
        <v>470</v>
      </c>
      <c r="C259" s="72" t="s">
        <v>56</v>
      </c>
      <c r="D259" s="77" t="s">
        <v>265</v>
      </c>
      <c r="E259" s="62" t="s">
        <v>291</v>
      </c>
      <c r="F259" s="63">
        <f>105.51565*1000</f>
        <v>105515.65</v>
      </c>
      <c r="G259" s="63">
        <f>0.04108*1000</f>
        <v>41.08</v>
      </c>
      <c r="H259" s="63">
        <v>0.29178999999999999</v>
      </c>
      <c r="I259" s="63">
        <f>105.51565*1000</f>
        <v>105515.65</v>
      </c>
      <c r="J259" s="63">
        <f>0.04108*1000</f>
        <v>41.08</v>
      </c>
      <c r="K259" s="63">
        <f>0.29179*1000</f>
        <v>291.79000000000002</v>
      </c>
    </row>
    <row r="260" spans="1:11" ht="24">
      <c r="A260" s="59">
        <v>28</v>
      </c>
      <c r="B260" s="60" t="s">
        <v>470</v>
      </c>
      <c r="C260" s="83">
        <v>41628</v>
      </c>
      <c r="D260" s="77" t="s">
        <v>265</v>
      </c>
      <c r="E260" s="62" t="s">
        <v>292</v>
      </c>
      <c r="F260" s="63">
        <f>164.06641*1000</f>
        <v>164066.41</v>
      </c>
      <c r="G260" s="63">
        <f>0.0011*1000</f>
        <v>1.1000000000000001</v>
      </c>
      <c r="H260" s="63">
        <v>1.6958800000000001</v>
      </c>
      <c r="I260" s="63">
        <f>164.06641*1000</f>
        <v>164066.41</v>
      </c>
      <c r="J260" s="63">
        <f>0.0011*1000</f>
        <v>1.1000000000000001</v>
      </c>
      <c r="K260" s="63">
        <f>1.69588*1000</f>
        <v>1695.88</v>
      </c>
    </row>
    <row r="261" spans="1:11" ht="24">
      <c r="A261" s="59">
        <v>29</v>
      </c>
      <c r="B261" s="60" t="s">
        <v>470</v>
      </c>
      <c r="C261" s="72" t="s">
        <v>56</v>
      </c>
      <c r="D261" s="77" t="s">
        <v>265</v>
      </c>
      <c r="E261" s="62" t="s">
        <v>293</v>
      </c>
      <c r="F261" s="63">
        <f>1042.76852*1000</f>
        <v>1042768.5200000001</v>
      </c>
      <c r="G261" s="63">
        <f>0.26212*1000</f>
        <v>262.12</v>
      </c>
      <c r="H261" s="63">
        <v>2.9119799999999998</v>
      </c>
      <c r="I261" s="63">
        <f>1042.76852*1000</f>
        <v>1042768.5200000001</v>
      </c>
      <c r="J261" s="63">
        <f>0.26212*1000</f>
        <v>262.12</v>
      </c>
      <c r="K261" s="63">
        <f>2.91198*1000</f>
        <v>2911.9799999999996</v>
      </c>
    </row>
    <row r="262" spans="1:11" ht="24">
      <c r="A262" s="59">
        <v>30</v>
      </c>
      <c r="B262" s="60" t="s">
        <v>470</v>
      </c>
      <c r="C262" s="83">
        <v>41628</v>
      </c>
      <c r="D262" s="77" t="s">
        <v>265</v>
      </c>
      <c r="E262" s="62" t="s">
        <v>294</v>
      </c>
      <c r="F262" s="63">
        <f>164.97542*1000</f>
        <v>164975.42000000001</v>
      </c>
      <c r="G262" s="63">
        <f>0.02941*1000</f>
        <v>29.41</v>
      </c>
      <c r="H262" s="63">
        <v>0.42391000000000001</v>
      </c>
      <c r="I262" s="63">
        <f>164.97542*1000</f>
        <v>164975.42000000001</v>
      </c>
      <c r="J262" s="63">
        <f>0.02941*1000</f>
        <v>29.41</v>
      </c>
      <c r="K262" s="63">
        <f>0.42391*1000</f>
        <v>423.91</v>
      </c>
    </row>
    <row r="263" spans="1:11" ht="24">
      <c r="A263" s="59">
        <v>31</v>
      </c>
      <c r="B263" s="60" t="s">
        <v>470</v>
      </c>
      <c r="C263" s="72" t="s">
        <v>56</v>
      </c>
      <c r="D263" s="77" t="s">
        <v>265</v>
      </c>
      <c r="E263" s="62" t="s">
        <v>295</v>
      </c>
      <c r="F263" s="63">
        <f>1539.43333*1000</f>
        <v>1539433.33</v>
      </c>
      <c r="G263" s="63">
        <f>0.145*1000</f>
        <v>145</v>
      </c>
      <c r="H263" s="63">
        <v>3.8396400000000002</v>
      </c>
      <c r="I263" s="63">
        <f>1539.43333*1000</f>
        <v>1539433.33</v>
      </c>
      <c r="J263" s="63">
        <f>0.145*1000</f>
        <v>145</v>
      </c>
      <c r="K263" s="63">
        <f>3.83964*1000</f>
        <v>3839.6400000000003</v>
      </c>
    </row>
    <row r="264" spans="1:11" ht="25.5">
      <c r="A264" s="59">
        <v>32</v>
      </c>
      <c r="B264" s="60" t="s">
        <v>470</v>
      </c>
      <c r="C264" s="83">
        <v>41628</v>
      </c>
      <c r="D264" s="77" t="s">
        <v>265</v>
      </c>
      <c r="E264" s="62" t="s">
        <v>296</v>
      </c>
      <c r="F264" s="63">
        <f>63.11458*1000</f>
        <v>63114.579999999994</v>
      </c>
      <c r="G264" s="63">
        <f>0.04893*1000</f>
        <v>48.93</v>
      </c>
      <c r="H264" s="63">
        <v>0.38341999999999998</v>
      </c>
      <c r="I264" s="63">
        <f>63.11458*1000</f>
        <v>63114.579999999994</v>
      </c>
      <c r="J264" s="63">
        <f>0.04893*1000</f>
        <v>48.93</v>
      </c>
      <c r="K264" s="63">
        <f>0.38342*1000</f>
        <v>383.41999999999996</v>
      </c>
    </row>
    <row r="265" spans="1:11" ht="24">
      <c r="A265" s="59">
        <v>33</v>
      </c>
      <c r="B265" s="60" t="s">
        <v>470</v>
      </c>
      <c r="C265" s="72" t="s">
        <v>56</v>
      </c>
      <c r="D265" s="77" t="s">
        <v>265</v>
      </c>
      <c r="E265" s="62" t="s">
        <v>297</v>
      </c>
      <c r="F265" s="63">
        <f>291.63988*1000</f>
        <v>291639.88</v>
      </c>
      <c r="G265" s="63">
        <f>0.09138*1000</f>
        <v>91.38000000000001</v>
      </c>
      <c r="H265" s="63">
        <v>0.70574000000000003</v>
      </c>
      <c r="I265" s="63">
        <f>291.63988*1000</f>
        <v>291639.88</v>
      </c>
      <c r="J265" s="63">
        <f>0.09138*1000</f>
        <v>91.38000000000001</v>
      </c>
      <c r="K265" s="63">
        <f>0.70574*1000</f>
        <v>705.74</v>
      </c>
    </row>
    <row r="266" spans="1:11" ht="24">
      <c r="A266" s="59">
        <v>34</v>
      </c>
      <c r="B266" s="60" t="s">
        <v>470</v>
      </c>
      <c r="C266" s="83">
        <v>41628</v>
      </c>
      <c r="D266" s="77" t="s">
        <v>265</v>
      </c>
      <c r="E266" s="62" t="s">
        <v>299</v>
      </c>
      <c r="F266" s="63">
        <f>98.38269*1000</f>
        <v>98382.69</v>
      </c>
      <c r="G266" s="63">
        <f>0.06832*1000</f>
        <v>68.320000000000007</v>
      </c>
      <c r="H266" s="63">
        <v>0.26240999999999998</v>
      </c>
      <c r="I266" s="63">
        <f>98.38269*1000</f>
        <v>98382.69</v>
      </c>
      <c r="J266" s="63">
        <f>0.06832*1000</f>
        <v>68.320000000000007</v>
      </c>
      <c r="K266" s="63">
        <f>0.26241*1000</f>
        <v>262.40999999999997</v>
      </c>
    </row>
    <row r="267" spans="1:11" ht="24">
      <c r="A267" s="59">
        <v>35</v>
      </c>
      <c r="B267" s="60" t="s">
        <v>470</v>
      </c>
      <c r="C267" s="72" t="s">
        <v>56</v>
      </c>
      <c r="D267" s="77" t="s">
        <v>265</v>
      </c>
      <c r="E267" s="62" t="s">
        <v>298</v>
      </c>
      <c r="F267" s="63">
        <f>254.52614*1000</f>
        <v>254526.13999999998</v>
      </c>
      <c r="G267" s="63">
        <f>0.03829*1000</f>
        <v>38.29</v>
      </c>
      <c r="H267" s="63">
        <v>0.6482</v>
      </c>
      <c r="I267" s="63">
        <f>254.52614*1000</f>
        <v>254526.13999999998</v>
      </c>
      <c r="J267" s="63">
        <f>0.03829*1000</f>
        <v>38.29</v>
      </c>
      <c r="K267" s="63">
        <f>0.6482*1000</f>
        <v>648.20000000000005</v>
      </c>
    </row>
    <row r="268" spans="1:11" ht="24">
      <c r="A268" s="59">
        <v>36</v>
      </c>
      <c r="B268" s="60" t="s">
        <v>470</v>
      </c>
      <c r="C268" s="83">
        <v>41628</v>
      </c>
      <c r="D268" s="77" t="s">
        <v>265</v>
      </c>
      <c r="E268" s="62" t="s">
        <v>300</v>
      </c>
      <c r="F268" s="63">
        <f>149.23394*1000</f>
        <v>149233.94</v>
      </c>
      <c r="G268" s="63">
        <f>0.02531*1000</f>
        <v>25.31</v>
      </c>
      <c r="H268" s="63">
        <v>0.36186000000000001</v>
      </c>
      <c r="I268" s="63">
        <f>149.23394*1000</f>
        <v>149233.94</v>
      </c>
      <c r="J268" s="63">
        <f>0.02531*1000</f>
        <v>25.31</v>
      </c>
      <c r="K268" s="63">
        <f>0.36186*1000</f>
        <v>361.86</v>
      </c>
    </row>
    <row r="269" spans="1:11" ht="24">
      <c r="A269" s="59">
        <v>37</v>
      </c>
      <c r="B269" s="60" t="s">
        <v>470</v>
      </c>
      <c r="C269" s="72" t="s">
        <v>56</v>
      </c>
      <c r="D269" s="77" t="s">
        <v>265</v>
      </c>
      <c r="E269" s="62" t="s">
        <v>301</v>
      </c>
      <c r="F269" s="63">
        <f>90.46147*1000</f>
        <v>90461.47</v>
      </c>
      <c r="G269" s="63">
        <f>0.3952*1000</f>
        <v>395.2</v>
      </c>
      <c r="H269" s="63">
        <v>0.40997</v>
      </c>
      <c r="I269" s="63">
        <f>90.46147*1000</f>
        <v>90461.47</v>
      </c>
      <c r="J269" s="63">
        <f>0.3952*1000</f>
        <v>395.2</v>
      </c>
      <c r="K269" s="63">
        <f>0.40997*1000</f>
        <v>409.97</v>
      </c>
    </row>
    <row r="270" spans="1:11" ht="24">
      <c r="A270" s="59">
        <v>38</v>
      </c>
      <c r="B270" s="60" t="s">
        <v>470</v>
      </c>
      <c r="C270" s="83">
        <v>41628</v>
      </c>
      <c r="D270" s="77" t="s">
        <v>265</v>
      </c>
      <c r="E270" s="62" t="s">
        <v>302</v>
      </c>
      <c r="F270" s="63">
        <f>94.67392*1000</f>
        <v>94673.919999999998</v>
      </c>
      <c r="G270" s="63">
        <f>0.13095*1000</f>
        <v>130.95000000000002</v>
      </c>
      <c r="H270" s="63">
        <v>0.31680999999999998</v>
      </c>
      <c r="I270" s="63">
        <f>94.67392*1000</f>
        <v>94673.919999999998</v>
      </c>
      <c r="J270" s="63">
        <f>0.13095*1000</f>
        <v>130.95000000000002</v>
      </c>
      <c r="K270" s="63">
        <f>0.31681*1000</f>
        <v>316.81</v>
      </c>
    </row>
    <row r="271" spans="1:11" ht="24">
      <c r="A271" s="59">
        <v>39</v>
      </c>
      <c r="B271" s="60" t="s">
        <v>470</v>
      </c>
      <c r="C271" s="72" t="s">
        <v>56</v>
      </c>
      <c r="D271" s="77" t="s">
        <v>265</v>
      </c>
      <c r="E271" s="62" t="s">
        <v>303</v>
      </c>
      <c r="F271" s="63">
        <f>138.14194*1000</f>
        <v>138141.94</v>
      </c>
      <c r="G271" s="63">
        <f>0.04949*1000</f>
        <v>49.49</v>
      </c>
      <c r="H271" s="63">
        <v>0.48547000000000001</v>
      </c>
      <c r="I271" s="63">
        <f>138.14194*1000</f>
        <v>138141.94</v>
      </c>
      <c r="J271" s="63">
        <f>0.04949*1000</f>
        <v>49.49</v>
      </c>
      <c r="K271" s="63">
        <f>0.48547*1000</f>
        <v>485.47</v>
      </c>
    </row>
    <row r="272" spans="1:11" ht="24">
      <c r="A272" s="59">
        <v>40</v>
      </c>
      <c r="B272" s="60" t="s">
        <v>470</v>
      </c>
      <c r="C272" s="83">
        <v>41628</v>
      </c>
      <c r="D272" s="77" t="s">
        <v>265</v>
      </c>
      <c r="E272" s="62" t="s">
        <v>304</v>
      </c>
      <c r="F272" s="63">
        <f>189.67192*1000</f>
        <v>189671.92</v>
      </c>
      <c r="G272" s="63">
        <f>0.1267*1000</f>
        <v>126.7</v>
      </c>
      <c r="H272" s="63">
        <v>0.54146000000000005</v>
      </c>
      <c r="I272" s="63">
        <f>189.67192*1000</f>
        <v>189671.92</v>
      </c>
      <c r="J272" s="63">
        <f>0.1267*1000</f>
        <v>126.7</v>
      </c>
      <c r="K272" s="63">
        <f>0.54146*1000</f>
        <v>541.46</v>
      </c>
    </row>
    <row r="273" spans="1:11" ht="24">
      <c r="A273" s="59">
        <v>41</v>
      </c>
      <c r="B273" s="60" t="s">
        <v>470</v>
      </c>
      <c r="C273" s="72" t="s">
        <v>56</v>
      </c>
      <c r="D273" s="77" t="s">
        <v>265</v>
      </c>
      <c r="E273" s="62" t="s">
        <v>305</v>
      </c>
      <c r="F273" s="63">
        <f>912.61727*1000</f>
        <v>912617.27</v>
      </c>
      <c r="G273" s="63">
        <f>0.16963*1000</f>
        <v>169.63</v>
      </c>
      <c r="H273" s="63">
        <v>2.2233800000000001</v>
      </c>
      <c r="I273" s="63">
        <f>912.61727*1000</f>
        <v>912617.27</v>
      </c>
      <c r="J273" s="63">
        <f>0.16963*1000</f>
        <v>169.63</v>
      </c>
      <c r="K273" s="63">
        <f>2.22338*1000</f>
        <v>2223.38</v>
      </c>
    </row>
    <row r="274" spans="1:11" ht="24">
      <c r="A274" s="59">
        <v>42</v>
      </c>
      <c r="B274" s="60" t="s">
        <v>470</v>
      </c>
      <c r="C274" s="83">
        <v>41628</v>
      </c>
      <c r="D274" s="77" t="s">
        <v>265</v>
      </c>
      <c r="E274" s="62" t="s">
        <v>306</v>
      </c>
      <c r="F274" s="63">
        <f>728.59802*1000</f>
        <v>728598.02</v>
      </c>
      <c r="G274" s="63">
        <f>0.19485*1000</f>
        <v>194.85</v>
      </c>
      <c r="H274" s="63">
        <v>1.8303199999999999</v>
      </c>
      <c r="I274" s="63">
        <f>728.59802*1000</f>
        <v>728598.02</v>
      </c>
      <c r="J274" s="63">
        <f>0.19485*1000</f>
        <v>194.85</v>
      </c>
      <c r="K274" s="63">
        <f>1.83032*1000</f>
        <v>1830.32</v>
      </c>
    </row>
    <row r="275" spans="1:11" ht="24">
      <c r="A275" s="59">
        <v>43</v>
      </c>
      <c r="B275" s="60" t="s">
        <v>470</v>
      </c>
      <c r="C275" s="72" t="s">
        <v>56</v>
      </c>
      <c r="D275" s="77" t="s">
        <v>265</v>
      </c>
      <c r="E275" s="62" t="s">
        <v>307</v>
      </c>
      <c r="F275" s="63">
        <f>369.43793*1000</f>
        <v>369437.93</v>
      </c>
      <c r="G275" s="63">
        <f>0.04482*1000</f>
        <v>44.82</v>
      </c>
      <c r="H275" s="63">
        <v>0.88273999999999997</v>
      </c>
      <c r="I275" s="63">
        <f>369.43793*1000</f>
        <v>369437.93</v>
      </c>
      <c r="J275" s="63">
        <f>0.04482*1000</f>
        <v>44.82</v>
      </c>
      <c r="K275" s="63">
        <f>0.88274*1000</f>
        <v>882.74</v>
      </c>
    </row>
    <row r="276" spans="1:11" ht="24">
      <c r="A276" s="59">
        <v>44</v>
      </c>
      <c r="B276" s="60" t="s">
        <v>470</v>
      </c>
      <c r="C276" s="83">
        <v>41628</v>
      </c>
      <c r="D276" s="77" t="s">
        <v>265</v>
      </c>
      <c r="E276" s="62" t="s">
        <v>308</v>
      </c>
      <c r="F276" s="63">
        <f>172.6875*1000</f>
        <v>172687.5</v>
      </c>
      <c r="G276" s="63">
        <f>0.08046*1000</f>
        <v>80.460000000000008</v>
      </c>
      <c r="H276" s="63">
        <v>0.89710999999999996</v>
      </c>
      <c r="I276" s="63">
        <f>172.6875*1000</f>
        <v>172687.5</v>
      </c>
      <c r="J276" s="63">
        <f>0.08046*1000</f>
        <v>80.460000000000008</v>
      </c>
      <c r="K276" s="63">
        <f>0.89711*1000</f>
        <v>897.11</v>
      </c>
    </row>
    <row r="277" spans="1:11" ht="24">
      <c r="A277" s="59">
        <v>45</v>
      </c>
      <c r="B277" s="60" t="s">
        <v>470</v>
      </c>
      <c r="C277" s="72" t="s">
        <v>56</v>
      </c>
      <c r="D277" s="77" t="s">
        <v>265</v>
      </c>
      <c r="E277" s="62" t="s">
        <v>309</v>
      </c>
      <c r="F277" s="63">
        <f>78.33565*1000</f>
        <v>78335.649999999994</v>
      </c>
      <c r="G277" s="63">
        <f>0.04293*1000</f>
        <v>42.93</v>
      </c>
      <c r="H277" s="63">
        <v>0.25889000000000001</v>
      </c>
      <c r="I277" s="63">
        <f>78.33565*1000</f>
        <v>78335.649999999994</v>
      </c>
      <c r="J277" s="63">
        <f>0.04293*1000</f>
        <v>42.93</v>
      </c>
      <c r="K277" s="63">
        <f>0.25889*1000</f>
        <v>258.89</v>
      </c>
    </row>
    <row r="278" spans="1:11" ht="24">
      <c r="A278" s="59">
        <v>46</v>
      </c>
      <c r="B278" s="60" t="s">
        <v>470</v>
      </c>
      <c r="C278" s="83">
        <v>41628</v>
      </c>
      <c r="D278" s="77" t="s">
        <v>265</v>
      </c>
      <c r="E278" s="62" t="s">
        <v>310</v>
      </c>
      <c r="F278" s="63">
        <f>76.27404*1000</f>
        <v>76274.039999999994</v>
      </c>
      <c r="G278" s="63">
        <f>0.06254*1000</f>
        <v>62.54</v>
      </c>
      <c r="H278" s="63">
        <v>0.29291</v>
      </c>
      <c r="I278" s="63">
        <f>76.27404*1000</f>
        <v>76274.039999999994</v>
      </c>
      <c r="J278" s="63">
        <f>0.06254*1000</f>
        <v>62.54</v>
      </c>
      <c r="K278" s="63">
        <f>0.29291*1000</f>
        <v>292.91000000000003</v>
      </c>
    </row>
    <row r="279" spans="1:11" ht="24">
      <c r="A279" s="59">
        <v>47</v>
      </c>
      <c r="B279" s="60" t="s">
        <v>470</v>
      </c>
      <c r="C279" s="72" t="s">
        <v>56</v>
      </c>
      <c r="D279" s="77" t="s">
        <v>265</v>
      </c>
      <c r="E279" s="62" t="s">
        <v>311</v>
      </c>
      <c r="F279" s="63">
        <f>84.42061*1000</f>
        <v>84420.61</v>
      </c>
      <c r="G279" s="63">
        <f>0.03035*1000</f>
        <v>30.349999999999998</v>
      </c>
      <c r="H279" s="63">
        <v>0.91907000000000005</v>
      </c>
      <c r="I279" s="63">
        <f>84.42061*1000</f>
        <v>84420.61</v>
      </c>
      <c r="J279" s="63">
        <f>0.03035*1000</f>
        <v>30.349999999999998</v>
      </c>
      <c r="K279" s="63">
        <f>0.91907*1000</f>
        <v>919.07</v>
      </c>
    </row>
    <row r="280" spans="1:11" ht="24">
      <c r="A280" s="59">
        <v>48</v>
      </c>
      <c r="B280" s="60" t="s">
        <v>470</v>
      </c>
      <c r="C280" s="83">
        <v>41628</v>
      </c>
      <c r="D280" s="77" t="s">
        <v>265</v>
      </c>
      <c r="E280" s="62" t="s">
        <v>312</v>
      </c>
      <c r="F280" s="63">
        <f>1236.57781*1000</f>
        <v>1236577.81</v>
      </c>
      <c r="G280" s="63">
        <f>0.21119*1000</f>
        <v>211.19</v>
      </c>
      <c r="H280" s="63">
        <v>2.6013999999999999</v>
      </c>
      <c r="I280" s="63">
        <f>1236.57781*1000</f>
        <v>1236577.81</v>
      </c>
      <c r="J280" s="63">
        <f>0.21119*1000</f>
        <v>211.19</v>
      </c>
      <c r="K280" s="63">
        <f>2.6014*1000</f>
        <v>2601.4</v>
      </c>
    </row>
    <row r="281" spans="1:11" ht="24">
      <c r="A281" s="59">
        <v>49</v>
      </c>
      <c r="B281" s="60" t="s">
        <v>470</v>
      </c>
      <c r="C281" s="72" t="s">
        <v>56</v>
      </c>
      <c r="D281" s="77" t="s">
        <v>265</v>
      </c>
      <c r="E281" s="62" t="s">
        <v>313</v>
      </c>
      <c r="F281" s="63">
        <f>105.8799*1000</f>
        <v>105879.90000000001</v>
      </c>
      <c r="G281" s="63">
        <f>0.03329*1000</f>
        <v>33.29</v>
      </c>
      <c r="H281" s="63">
        <v>0.19341</v>
      </c>
      <c r="I281" s="63">
        <f>105.8799*1000</f>
        <v>105879.90000000001</v>
      </c>
      <c r="J281" s="63">
        <f>0.03329*1000</f>
        <v>33.29</v>
      </c>
      <c r="K281" s="63">
        <f>0.19341*1000</f>
        <v>193.41</v>
      </c>
    </row>
    <row r="282" spans="1:11" ht="24">
      <c r="A282" s="59">
        <v>50</v>
      </c>
      <c r="B282" s="60" t="s">
        <v>470</v>
      </c>
      <c r="C282" s="83">
        <v>41628</v>
      </c>
      <c r="D282" s="77" t="s">
        <v>265</v>
      </c>
      <c r="E282" s="62" t="s">
        <v>314</v>
      </c>
      <c r="F282" s="63">
        <f>406.22927*1000</f>
        <v>406229.26999999996</v>
      </c>
      <c r="G282" s="63">
        <f>0.09177*1000</f>
        <v>91.77000000000001</v>
      </c>
      <c r="H282" s="63">
        <v>1.1775100000000001</v>
      </c>
      <c r="I282" s="63">
        <f>406.22927*1000</f>
        <v>406229.26999999996</v>
      </c>
      <c r="J282" s="63">
        <f>0.09177*1000</f>
        <v>91.77000000000001</v>
      </c>
      <c r="K282" s="63">
        <f>1.17751*1000</f>
        <v>1177.51</v>
      </c>
    </row>
    <row r="283" spans="1:11">
      <c r="A283" s="95" t="s">
        <v>315</v>
      </c>
      <c r="B283" s="96"/>
      <c r="C283" s="96"/>
      <c r="D283" s="96"/>
      <c r="E283" s="96"/>
      <c r="F283" s="96"/>
      <c r="G283" s="96"/>
      <c r="H283" s="96"/>
      <c r="I283" s="96"/>
      <c r="J283" s="96"/>
      <c r="K283" s="97"/>
    </row>
    <row r="284" spans="1:11" ht="38.25">
      <c r="A284" s="59">
        <v>1</v>
      </c>
      <c r="B284" s="60" t="s">
        <v>471</v>
      </c>
      <c r="C284" s="72">
        <v>41632</v>
      </c>
      <c r="D284" s="61" t="s">
        <v>317</v>
      </c>
      <c r="E284" s="62" t="s">
        <v>322</v>
      </c>
      <c r="F284" s="63">
        <f>37.315585*1000</f>
        <v>37315.584999999999</v>
      </c>
      <c r="G284" s="63">
        <f>0.281526*1000</f>
        <v>281.52600000000001</v>
      </c>
      <c r="H284" s="63">
        <f>0.416087*1000</f>
        <v>416.08699999999999</v>
      </c>
      <c r="I284" s="63">
        <f>37.315585*1000</f>
        <v>37315.584999999999</v>
      </c>
      <c r="J284" s="63">
        <f>0.281526*1000</f>
        <v>281.52600000000001</v>
      </c>
      <c r="K284" s="63">
        <f>0.414412*1000</f>
        <v>414.41199999999998</v>
      </c>
    </row>
    <row r="285" spans="1:11" ht="25.5">
      <c r="A285" s="59">
        <v>2</v>
      </c>
      <c r="B285" s="60" t="s">
        <v>472</v>
      </c>
      <c r="C285" s="72">
        <v>41632</v>
      </c>
      <c r="D285" s="61" t="s">
        <v>317</v>
      </c>
      <c r="E285" s="62" t="s">
        <v>320</v>
      </c>
      <c r="F285" s="63">
        <f>53.34756*1000</f>
        <v>53347.560000000005</v>
      </c>
      <c r="G285" s="63">
        <f>0.006867*1000</f>
        <v>6.867</v>
      </c>
      <c r="H285" s="63">
        <f>0.087157*1000</f>
        <v>87.156999999999996</v>
      </c>
      <c r="I285" s="63">
        <f>53.347557*1000</f>
        <v>53347.557000000001</v>
      </c>
      <c r="J285" s="63">
        <f>0.00603*1000</f>
        <v>6.0299999999999994</v>
      </c>
      <c r="K285" s="63">
        <f>0.084775*1000</f>
        <v>84.775000000000006</v>
      </c>
    </row>
    <row r="286" spans="1:11" ht="25.5">
      <c r="A286" s="59">
        <v>3</v>
      </c>
      <c r="B286" s="60" t="s">
        <v>473</v>
      </c>
      <c r="C286" s="72">
        <v>41632</v>
      </c>
      <c r="D286" s="61" t="s">
        <v>317</v>
      </c>
      <c r="E286" s="62" t="s">
        <v>321</v>
      </c>
      <c r="F286" s="63">
        <f>31.86529*1000</f>
        <v>31865.29</v>
      </c>
      <c r="G286" s="63">
        <v>0</v>
      </c>
      <c r="H286" s="63">
        <f>0.13285*1000</f>
        <v>132.85</v>
      </c>
      <c r="I286" s="63">
        <f>31.86529*1000</f>
        <v>31865.29</v>
      </c>
      <c r="J286" s="63">
        <v>0</v>
      </c>
      <c r="K286" s="63">
        <f>0.11816*1000</f>
        <v>118.16</v>
      </c>
    </row>
    <row r="287" spans="1:11" ht="25.5">
      <c r="A287" s="59">
        <v>4</v>
      </c>
      <c r="B287" s="60" t="s">
        <v>474</v>
      </c>
      <c r="C287" s="72">
        <v>41632</v>
      </c>
      <c r="D287" s="61" t="s">
        <v>317</v>
      </c>
      <c r="E287" s="62" t="s">
        <v>323</v>
      </c>
      <c r="F287" s="63">
        <f>227.13564*1000</f>
        <v>227135.63999999998</v>
      </c>
      <c r="G287" s="63">
        <f>0.294821*1000</f>
        <v>294.82100000000003</v>
      </c>
      <c r="H287" s="63">
        <f>0.637812*1000</f>
        <v>637.81200000000001</v>
      </c>
      <c r="I287" s="63">
        <f>226.05814*1000</f>
        <v>226058.14</v>
      </c>
      <c r="J287" s="63">
        <f>0.294821*1000</f>
        <v>294.82100000000003</v>
      </c>
      <c r="K287" s="63">
        <f>0.637812*1000</f>
        <v>637.81200000000001</v>
      </c>
    </row>
    <row r="288" spans="1:11" ht="38.25">
      <c r="A288" s="59">
        <v>5</v>
      </c>
      <c r="B288" s="60" t="s">
        <v>475</v>
      </c>
      <c r="C288" s="72">
        <v>41632</v>
      </c>
      <c r="D288" s="61" t="s">
        <v>317</v>
      </c>
      <c r="E288" s="62" t="s">
        <v>324</v>
      </c>
      <c r="F288" s="63">
        <f>94.33334*1000</f>
        <v>94333.340000000011</v>
      </c>
      <c r="G288" s="63">
        <f>0.036621*1000</f>
        <v>36.621000000000002</v>
      </c>
      <c r="H288" s="63">
        <f>0.098501*1000</f>
        <v>98.501000000000005</v>
      </c>
      <c r="I288" s="63">
        <f>86.89884*1000</f>
        <v>86898.840000000011</v>
      </c>
      <c r="J288" s="63">
        <f>0.036621*1000</f>
        <v>36.621000000000002</v>
      </c>
      <c r="K288" s="63">
        <f>0.098501*1000</f>
        <v>98.501000000000005</v>
      </c>
    </row>
    <row r="289" spans="1:11" ht="25.5">
      <c r="A289" s="59">
        <v>6</v>
      </c>
      <c r="B289" s="60" t="s">
        <v>476</v>
      </c>
      <c r="C289" s="72">
        <v>41632</v>
      </c>
      <c r="D289" s="61" t="s">
        <v>317</v>
      </c>
      <c r="E289" s="62" t="s">
        <v>326</v>
      </c>
      <c r="F289" s="63">
        <f>182.98376*1000</f>
        <v>182983.75999999998</v>
      </c>
      <c r="G289" s="63">
        <f>0.26757*1000</f>
        <v>267.57</v>
      </c>
      <c r="H289" s="63">
        <f>0.53841*1000</f>
        <v>538.41000000000008</v>
      </c>
      <c r="I289" s="63">
        <f>179.12888*1000</f>
        <v>179128.88</v>
      </c>
      <c r="J289" s="63">
        <f>0.26757*1000</f>
        <v>267.57</v>
      </c>
      <c r="K289" s="63">
        <f>0.53841*1000</f>
        <v>538.41000000000008</v>
      </c>
    </row>
    <row r="290" spans="1:11" ht="25.5">
      <c r="A290" s="59">
        <v>7</v>
      </c>
      <c r="B290" s="60" t="s">
        <v>477</v>
      </c>
      <c r="C290" s="72">
        <v>41632</v>
      </c>
      <c r="D290" s="61" t="s">
        <v>317</v>
      </c>
      <c r="E290" s="62" t="s">
        <v>325</v>
      </c>
      <c r="F290" s="63">
        <f>207.1688*1000</f>
        <v>207168.80000000002</v>
      </c>
      <c r="G290" s="63">
        <f>0.128082*1000</f>
        <v>128.08199999999999</v>
      </c>
      <c r="H290" s="63">
        <f>0.61325*1000</f>
        <v>613.25</v>
      </c>
      <c r="I290" s="63">
        <f>207.16769*1000</f>
        <v>207167.69</v>
      </c>
      <c r="J290" s="63">
        <f>0.128082*1000</f>
        <v>128.08199999999999</v>
      </c>
      <c r="K290" s="63">
        <f>0.61325*1000</f>
        <v>613.25</v>
      </c>
    </row>
    <row r="291" spans="1:11" ht="25.5">
      <c r="A291" s="59">
        <v>8</v>
      </c>
      <c r="B291" s="60" t="s">
        <v>478</v>
      </c>
      <c r="C291" s="72">
        <v>41632</v>
      </c>
      <c r="D291" s="61" t="s">
        <v>317</v>
      </c>
      <c r="E291" s="62" t="s">
        <v>327</v>
      </c>
      <c r="F291" s="63">
        <f>16.46322*1000</f>
        <v>16463.22</v>
      </c>
      <c r="G291" s="63">
        <f>0.023014*1000</f>
        <v>23.013999999999999</v>
      </c>
      <c r="H291" s="63">
        <f>0.044785*1000</f>
        <v>44.784999999999997</v>
      </c>
      <c r="I291" s="63">
        <f>15.543*1000</f>
        <v>15543</v>
      </c>
      <c r="J291" s="63">
        <f>0.023014*1000</f>
        <v>23.013999999999999</v>
      </c>
      <c r="K291" s="63">
        <f>0.044785*1000</f>
        <v>44.784999999999997</v>
      </c>
    </row>
    <row r="292" spans="1:11" ht="25.5">
      <c r="A292" s="59">
        <v>9</v>
      </c>
      <c r="B292" s="60" t="s">
        <v>479</v>
      </c>
      <c r="C292" s="72">
        <v>41632</v>
      </c>
      <c r="D292" s="61" t="s">
        <v>318</v>
      </c>
      <c r="E292" s="62" t="s">
        <v>328</v>
      </c>
      <c r="F292" s="63">
        <f>611.46288*1000</f>
        <v>611462.88</v>
      </c>
      <c r="G292" s="63">
        <f>0.202039*1000</f>
        <v>202.03899999999999</v>
      </c>
      <c r="H292" s="63">
        <f>1.2142*1000</f>
        <v>1214.2</v>
      </c>
      <c r="I292" s="63">
        <f>611.4628*1000</f>
        <v>611462.80000000005</v>
      </c>
      <c r="J292" s="63">
        <f>0.202039*1000</f>
        <v>202.03899999999999</v>
      </c>
      <c r="K292" s="63">
        <f>1.1799*1000</f>
        <v>1179.8999999999999</v>
      </c>
    </row>
    <row r="293" spans="1:11" ht="25.5">
      <c r="A293" s="59">
        <v>10</v>
      </c>
      <c r="B293" s="60" t="s">
        <v>480</v>
      </c>
      <c r="C293" s="72">
        <v>41632</v>
      </c>
      <c r="D293" s="61" t="s">
        <v>317</v>
      </c>
      <c r="E293" s="62" t="s">
        <v>329</v>
      </c>
      <c r="F293" s="63">
        <f>45.71101*1000</f>
        <v>45711.01</v>
      </c>
      <c r="G293" s="63">
        <f>0.0245*1000</f>
        <v>24.5</v>
      </c>
      <c r="H293" s="63">
        <f>0.22688*1000</f>
        <v>226.88</v>
      </c>
      <c r="I293" s="63">
        <f>44.07878*1000</f>
        <v>44078.78</v>
      </c>
      <c r="J293" s="63">
        <f>0.0245*1000</f>
        <v>24.5</v>
      </c>
      <c r="K293" s="63">
        <f>0.22688*1000</f>
        <v>226.88</v>
      </c>
    </row>
    <row r="294" spans="1:11">
      <c r="A294" s="95" t="s">
        <v>330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7"/>
    </row>
    <row r="295" spans="1:11" ht="25.5">
      <c r="A295" s="59">
        <v>1</v>
      </c>
      <c r="B295" s="60" t="s">
        <v>481</v>
      </c>
      <c r="C295" s="83">
        <v>41632</v>
      </c>
      <c r="D295" s="61" t="s">
        <v>331</v>
      </c>
      <c r="E295" s="62" t="s">
        <v>335</v>
      </c>
      <c r="F295" s="63">
        <v>128087.44</v>
      </c>
      <c r="G295" s="63">
        <v>39.35</v>
      </c>
      <c r="H295" s="63">
        <v>232.13</v>
      </c>
      <c r="I295" s="63">
        <v>127470.13</v>
      </c>
      <c r="J295" s="63">
        <v>50.71</v>
      </c>
      <c r="K295" s="63">
        <v>267.47000000000003</v>
      </c>
    </row>
    <row r="296" spans="1:11" ht="25.5">
      <c r="A296" s="59">
        <v>2</v>
      </c>
      <c r="B296" s="60" t="s">
        <v>482</v>
      </c>
      <c r="C296" s="83">
        <v>41632</v>
      </c>
      <c r="D296" s="61" t="s">
        <v>332</v>
      </c>
      <c r="E296" s="62" t="s">
        <v>336</v>
      </c>
      <c r="F296" s="63">
        <v>200743.56</v>
      </c>
      <c r="G296" s="63">
        <v>412.26</v>
      </c>
      <c r="H296" s="63">
        <v>804.14</v>
      </c>
      <c r="I296" s="63">
        <v>213375.18</v>
      </c>
      <c r="J296" s="63">
        <v>381.3</v>
      </c>
      <c r="K296" s="63">
        <v>770.88</v>
      </c>
    </row>
    <row r="297" spans="1:11" ht="25.5">
      <c r="A297" s="59">
        <v>3</v>
      </c>
      <c r="B297" s="60" t="s">
        <v>483</v>
      </c>
      <c r="C297" s="83">
        <v>41632</v>
      </c>
      <c r="D297" s="61" t="s">
        <v>333</v>
      </c>
      <c r="E297" s="62" t="s">
        <v>337</v>
      </c>
      <c r="F297" s="63">
        <v>370782.32</v>
      </c>
      <c r="G297" s="63">
        <v>383.85</v>
      </c>
      <c r="H297" s="63">
        <v>1056.17</v>
      </c>
      <c r="I297" s="63">
        <v>349974.52</v>
      </c>
      <c r="J297" s="63">
        <v>332.83</v>
      </c>
      <c r="K297" s="63">
        <v>993.65</v>
      </c>
    </row>
    <row r="298" spans="1:11" ht="25.5">
      <c r="A298" s="59">
        <v>4</v>
      </c>
      <c r="B298" s="60" t="s">
        <v>484</v>
      </c>
      <c r="C298" s="83">
        <v>41632</v>
      </c>
      <c r="D298" s="61" t="s">
        <v>333</v>
      </c>
      <c r="E298" s="62" t="s">
        <v>338</v>
      </c>
      <c r="F298" s="63">
        <v>227218.47</v>
      </c>
      <c r="G298" s="63">
        <v>188.41</v>
      </c>
      <c r="H298" s="63">
        <v>578.66</v>
      </c>
      <c r="I298" s="63">
        <v>201425.05</v>
      </c>
      <c r="J298" s="63">
        <v>232.9</v>
      </c>
      <c r="K298" s="63">
        <v>633.85</v>
      </c>
    </row>
    <row r="299" spans="1:11" ht="25.5">
      <c r="A299" s="59">
        <v>5</v>
      </c>
      <c r="B299" s="60" t="s">
        <v>485</v>
      </c>
      <c r="C299" s="83">
        <v>41632</v>
      </c>
      <c r="D299" s="61" t="s">
        <v>333</v>
      </c>
      <c r="E299" s="62" t="s">
        <v>339</v>
      </c>
      <c r="F299" s="63">
        <v>45111.68</v>
      </c>
      <c r="G299" s="63">
        <v>25.58</v>
      </c>
      <c r="H299" s="63">
        <v>121.5</v>
      </c>
      <c r="I299" s="63">
        <v>39189.68</v>
      </c>
      <c r="J299" s="63">
        <v>25.36</v>
      </c>
      <c r="K299" s="63">
        <v>111.57</v>
      </c>
    </row>
    <row r="300" spans="1:11" ht="25.5">
      <c r="A300" s="59">
        <v>6</v>
      </c>
      <c r="B300" s="60" t="s">
        <v>486</v>
      </c>
      <c r="C300" s="83">
        <v>41632</v>
      </c>
      <c r="D300" s="61" t="s">
        <v>331</v>
      </c>
      <c r="E300" s="62" t="s">
        <v>340</v>
      </c>
      <c r="F300" s="63">
        <v>43632.79</v>
      </c>
      <c r="G300" s="63">
        <v>23.94</v>
      </c>
      <c r="H300" s="63">
        <v>106.5</v>
      </c>
      <c r="I300" s="63">
        <v>29398.71</v>
      </c>
      <c r="J300" s="63">
        <v>28.18</v>
      </c>
      <c r="K300" s="63">
        <v>109.69</v>
      </c>
    </row>
    <row r="301" spans="1:11" ht="25.5">
      <c r="A301" s="59">
        <v>7</v>
      </c>
      <c r="B301" s="60" t="s">
        <v>487</v>
      </c>
      <c r="C301" s="83">
        <v>41632</v>
      </c>
      <c r="D301" s="61" t="s">
        <v>331</v>
      </c>
      <c r="E301" s="62" t="s">
        <v>342</v>
      </c>
      <c r="F301" s="63">
        <v>11332.01</v>
      </c>
      <c r="G301" s="63">
        <v>21.3</v>
      </c>
      <c r="H301" s="63">
        <v>66.430000000000007</v>
      </c>
      <c r="I301" s="63">
        <v>12276.35</v>
      </c>
      <c r="J301" s="63">
        <v>17.899999999999999</v>
      </c>
      <c r="K301" s="63">
        <v>60.92</v>
      </c>
    </row>
    <row r="302" spans="1:11" ht="25.5">
      <c r="A302" s="59">
        <v>8</v>
      </c>
      <c r="B302" s="60" t="s">
        <v>488</v>
      </c>
      <c r="C302" s="83">
        <v>41632</v>
      </c>
      <c r="D302" s="61" t="s">
        <v>331</v>
      </c>
      <c r="E302" s="62" t="s">
        <v>341</v>
      </c>
      <c r="F302" s="63">
        <v>158694.67000000001</v>
      </c>
      <c r="G302" s="63">
        <v>28.89</v>
      </c>
      <c r="H302" s="63">
        <v>425.58</v>
      </c>
      <c r="I302" s="63">
        <v>179799.15</v>
      </c>
      <c r="J302" s="63">
        <v>24.15</v>
      </c>
      <c r="K302" s="63">
        <v>420.11</v>
      </c>
    </row>
    <row r="303" spans="1:11" ht="25.5">
      <c r="A303" s="59">
        <v>9</v>
      </c>
      <c r="B303" s="60" t="s">
        <v>489</v>
      </c>
      <c r="C303" s="83">
        <v>41632</v>
      </c>
      <c r="D303" s="61" t="s">
        <v>333</v>
      </c>
      <c r="E303" s="87" t="s">
        <v>343</v>
      </c>
      <c r="F303" s="63">
        <v>45982.29</v>
      </c>
      <c r="G303" s="63">
        <v>21.39</v>
      </c>
      <c r="H303" s="63">
        <v>93.54</v>
      </c>
      <c r="I303" s="63">
        <v>46757.04</v>
      </c>
      <c r="J303" s="63">
        <v>22.03</v>
      </c>
      <c r="K303" s="63">
        <v>96.56</v>
      </c>
    </row>
    <row r="304" spans="1:11" ht="25.5">
      <c r="A304" s="59">
        <v>10</v>
      </c>
      <c r="B304" s="60" t="s">
        <v>490</v>
      </c>
      <c r="C304" s="83">
        <v>41632</v>
      </c>
      <c r="D304" s="61" t="s">
        <v>333</v>
      </c>
      <c r="E304" s="87" t="s">
        <v>344</v>
      </c>
      <c r="F304" s="63">
        <v>62240.260999999999</v>
      </c>
      <c r="G304" s="63">
        <v>8.4000000000000005E-2</v>
      </c>
      <c r="H304" s="63">
        <v>115.292</v>
      </c>
      <c r="I304" s="63">
        <v>64780.68</v>
      </c>
      <c r="J304" s="63">
        <v>8.0299999999999996E-2</v>
      </c>
      <c r="K304" s="63">
        <v>115.288</v>
      </c>
    </row>
    <row r="305" spans="1:11" ht="25.5">
      <c r="A305" s="59">
        <v>11</v>
      </c>
      <c r="B305" s="60" t="s">
        <v>491</v>
      </c>
      <c r="C305" s="83">
        <v>41632</v>
      </c>
      <c r="D305" s="61" t="s">
        <v>331</v>
      </c>
      <c r="E305" s="62" t="s">
        <v>345</v>
      </c>
      <c r="F305" s="63">
        <v>55833.26</v>
      </c>
      <c r="G305" s="63">
        <v>111.87</v>
      </c>
      <c r="H305" s="63">
        <v>491.79</v>
      </c>
      <c r="I305" s="63">
        <v>52460.2</v>
      </c>
      <c r="J305" s="63">
        <v>139.13</v>
      </c>
      <c r="K305" s="63">
        <v>531.59</v>
      </c>
    </row>
    <row r="306" spans="1:11" ht="25.5">
      <c r="A306" s="59">
        <v>12</v>
      </c>
      <c r="B306" s="60" t="s">
        <v>492</v>
      </c>
      <c r="C306" s="83">
        <v>41632</v>
      </c>
      <c r="D306" s="61" t="s">
        <v>333</v>
      </c>
      <c r="E306" s="62" t="s">
        <v>62</v>
      </c>
      <c r="F306" s="63">
        <v>32079.82</v>
      </c>
      <c r="G306" s="63">
        <v>24.64</v>
      </c>
      <c r="H306" s="63">
        <v>97.48</v>
      </c>
      <c r="I306" s="63">
        <v>32807.699999999997</v>
      </c>
      <c r="J306" s="63">
        <v>22.18</v>
      </c>
      <c r="K306" s="63">
        <v>95.02</v>
      </c>
    </row>
    <row r="307" spans="1:11" ht="25.5">
      <c r="A307" s="59">
        <v>13</v>
      </c>
      <c r="B307" s="60" t="s">
        <v>493</v>
      </c>
      <c r="C307" s="83">
        <v>41632</v>
      </c>
      <c r="D307" s="61" t="s">
        <v>333</v>
      </c>
      <c r="E307" s="62" t="s">
        <v>346</v>
      </c>
      <c r="F307" s="63">
        <v>142448.94</v>
      </c>
      <c r="G307" s="63">
        <v>28.13</v>
      </c>
      <c r="H307" s="63">
        <v>247.27</v>
      </c>
      <c r="I307" s="63">
        <v>145037</v>
      </c>
      <c r="J307" s="63">
        <v>25.93</v>
      </c>
      <c r="K307" s="63">
        <v>244.95</v>
      </c>
    </row>
    <row r="308" spans="1:11" ht="25.5">
      <c r="A308" s="59">
        <v>14</v>
      </c>
      <c r="B308" s="60" t="s">
        <v>494</v>
      </c>
      <c r="C308" s="83">
        <v>41632</v>
      </c>
      <c r="D308" s="61" t="s">
        <v>333</v>
      </c>
      <c r="E308" s="62" t="s">
        <v>347</v>
      </c>
      <c r="F308" s="63">
        <v>96527.93</v>
      </c>
      <c r="G308" s="63">
        <v>94.12</v>
      </c>
      <c r="H308" s="63">
        <v>284.07</v>
      </c>
      <c r="I308" s="63">
        <v>96382.97</v>
      </c>
      <c r="J308" s="63">
        <v>119.39</v>
      </c>
      <c r="K308" s="63">
        <v>309.02999999999997</v>
      </c>
    </row>
    <row r="309" spans="1:11" ht="25.5">
      <c r="A309" s="59">
        <v>15</v>
      </c>
      <c r="B309" s="60" t="s">
        <v>495</v>
      </c>
      <c r="C309" s="83">
        <v>41632</v>
      </c>
      <c r="D309" s="61" t="s">
        <v>331</v>
      </c>
      <c r="E309" s="62" t="s">
        <v>395</v>
      </c>
      <c r="F309" s="63">
        <v>25089.919999999998</v>
      </c>
      <c r="G309" s="63">
        <v>90.56</v>
      </c>
      <c r="H309" s="63">
        <v>334.35</v>
      </c>
      <c r="I309" s="63">
        <v>25084.9</v>
      </c>
      <c r="J309" s="63">
        <v>86.57</v>
      </c>
      <c r="K309" s="63">
        <v>330.37</v>
      </c>
    </row>
    <row r="310" spans="1:11" ht="25.5">
      <c r="A310" s="59">
        <v>16</v>
      </c>
      <c r="B310" s="60" t="s">
        <v>496</v>
      </c>
      <c r="C310" s="83">
        <v>41632</v>
      </c>
      <c r="D310" s="61" t="s">
        <v>333</v>
      </c>
      <c r="E310" s="62" t="s">
        <v>348</v>
      </c>
      <c r="F310" s="63">
        <v>795620.48</v>
      </c>
      <c r="G310" s="63">
        <v>235.68</v>
      </c>
      <c r="H310" s="63">
        <v>1621.14</v>
      </c>
      <c r="I310" s="63">
        <v>798594.99</v>
      </c>
      <c r="J310" s="63">
        <v>209.25</v>
      </c>
      <c r="K310" s="63">
        <v>1583.54</v>
      </c>
    </row>
    <row r="311" spans="1:11" ht="25.5">
      <c r="A311" s="59">
        <v>17</v>
      </c>
      <c r="B311" s="60" t="s">
        <v>497</v>
      </c>
      <c r="C311" s="83">
        <v>41632</v>
      </c>
      <c r="D311" s="61" t="s">
        <v>333</v>
      </c>
      <c r="E311" s="62" t="s">
        <v>349</v>
      </c>
      <c r="F311" s="63">
        <v>116138.5</v>
      </c>
      <c r="G311" s="63">
        <v>280.39999999999998</v>
      </c>
      <c r="H311" s="63">
        <v>558.39</v>
      </c>
      <c r="I311" s="63">
        <v>116125.85</v>
      </c>
      <c r="J311" s="63">
        <v>268.18</v>
      </c>
      <c r="K311" s="63">
        <v>546.14</v>
      </c>
    </row>
    <row r="312" spans="1:11" ht="25.5">
      <c r="A312" s="59">
        <v>18</v>
      </c>
      <c r="B312" s="60" t="s">
        <v>498</v>
      </c>
      <c r="C312" s="83">
        <v>41632</v>
      </c>
      <c r="D312" s="61" t="s">
        <v>331</v>
      </c>
      <c r="E312" s="62" t="s">
        <v>350</v>
      </c>
      <c r="F312" s="63">
        <v>495746.88</v>
      </c>
      <c r="G312" s="63">
        <v>207.08</v>
      </c>
      <c r="H312" s="63">
        <v>1042.49</v>
      </c>
      <c r="I312" s="63">
        <v>491457.21</v>
      </c>
      <c r="J312" s="63">
        <v>181.04</v>
      </c>
      <c r="K312" s="63">
        <v>1009.25</v>
      </c>
    </row>
    <row r="313" spans="1:11" ht="24" customHeight="1">
      <c r="A313" s="59">
        <v>19</v>
      </c>
      <c r="B313" s="60" t="s">
        <v>499</v>
      </c>
      <c r="C313" s="83">
        <v>41632</v>
      </c>
      <c r="D313" s="61" t="s">
        <v>331</v>
      </c>
      <c r="E313" s="62" t="s">
        <v>351</v>
      </c>
      <c r="F313" s="63">
        <v>612227.35</v>
      </c>
      <c r="G313" s="63">
        <v>68.14</v>
      </c>
      <c r="H313" s="63">
        <v>1030.94</v>
      </c>
      <c r="I313" s="63">
        <v>595059.43000000005</v>
      </c>
      <c r="J313" s="63">
        <v>65.099999999999994</v>
      </c>
      <c r="K313" s="63">
        <v>1027.9000000000001</v>
      </c>
    </row>
    <row r="314" spans="1:11">
      <c r="A314" s="95" t="s">
        <v>352</v>
      </c>
      <c r="B314" s="96"/>
      <c r="C314" s="96"/>
      <c r="D314" s="96"/>
      <c r="E314" s="96"/>
      <c r="F314" s="96"/>
      <c r="G314" s="96"/>
      <c r="H314" s="96"/>
      <c r="I314" s="96"/>
      <c r="J314" s="96"/>
      <c r="K314" s="97"/>
    </row>
    <row r="315" spans="1:11">
      <c r="A315" s="59">
        <v>1</v>
      </c>
      <c r="B315" s="60" t="s">
        <v>500</v>
      </c>
      <c r="C315" s="72" t="s">
        <v>10</v>
      </c>
      <c r="D315" s="61" t="s">
        <v>353</v>
      </c>
      <c r="E315" s="62" t="s">
        <v>355</v>
      </c>
      <c r="F315" s="63">
        <f>233.88969*1000</f>
        <v>233889.69</v>
      </c>
      <c r="G315" s="63">
        <f>0.32006*1000</f>
        <v>320.06</v>
      </c>
      <c r="H315" s="63">
        <f>0.6264*1000</f>
        <v>626.4</v>
      </c>
      <c r="I315" s="63">
        <f>233.88969*1000</f>
        <v>233889.69</v>
      </c>
      <c r="J315" s="63">
        <f>0.30294*1000</f>
        <v>302.94</v>
      </c>
      <c r="K315" s="63">
        <f>0.6264*1000</f>
        <v>626.4</v>
      </c>
    </row>
    <row r="316" spans="1:11">
      <c r="A316" s="59">
        <v>2</v>
      </c>
      <c r="B316" s="60" t="s">
        <v>500</v>
      </c>
      <c r="C316" s="72" t="s">
        <v>10</v>
      </c>
      <c r="D316" s="61" t="s">
        <v>353</v>
      </c>
      <c r="E316" s="62" t="s">
        <v>356</v>
      </c>
      <c r="F316" s="63">
        <f>53.91884*1000</f>
        <v>53918.840000000004</v>
      </c>
      <c r="G316" s="63">
        <v>0</v>
      </c>
      <c r="H316" s="63">
        <f>0.11688*1000</f>
        <v>116.88</v>
      </c>
      <c r="I316" s="63">
        <f>53.91884*1000</f>
        <v>53918.840000000004</v>
      </c>
      <c r="J316" s="63">
        <v>0</v>
      </c>
      <c r="K316" s="63">
        <f>0.11688*1000</f>
        <v>116.88</v>
      </c>
    </row>
    <row r="317" spans="1:11">
      <c r="A317" s="59">
        <v>3</v>
      </c>
      <c r="B317" s="60" t="s">
        <v>500</v>
      </c>
      <c r="C317" s="72" t="s">
        <v>10</v>
      </c>
      <c r="D317" s="61" t="s">
        <v>353</v>
      </c>
      <c r="E317" s="62" t="s">
        <v>357</v>
      </c>
      <c r="F317" s="63">
        <f>351.68477*1000</f>
        <v>351684.77</v>
      </c>
      <c r="G317" s="63">
        <v>0</v>
      </c>
      <c r="H317" s="63">
        <f>1.42652*1000</f>
        <v>1426.52</v>
      </c>
      <c r="I317" s="63">
        <f>351.68477*1000</f>
        <v>351684.77</v>
      </c>
      <c r="J317" s="63">
        <v>0</v>
      </c>
      <c r="K317" s="63">
        <f>1.42652*1000</f>
        <v>1426.52</v>
      </c>
    </row>
    <row r="318" spans="1:11">
      <c r="A318" s="59">
        <v>4</v>
      </c>
      <c r="B318" s="60" t="s">
        <v>500</v>
      </c>
      <c r="C318" s="72" t="s">
        <v>10</v>
      </c>
      <c r="D318" s="61" t="s">
        <v>353</v>
      </c>
      <c r="E318" s="62" t="s">
        <v>358</v>
      </c>
      <c r="F318" s="63">
        <f>1.3431*1000</f>
        <v>1343.1</v>
      </c>
      <c r="G318" s="63">
        <f>0.03495*1000</f>
        <v>34.950000000000003</v>
      </c>
      <c r="H318" s="63">
        <f>0.03781*1000</f>
        <v>37.81</v>
      </c>
      <c r="I318" s="63">
        <f>1.3431*1000</f>
        <v>1343.1</v>
      </c>
      <c r="J318" s="63">
        <f>0.04066*1000</f>
        <v>40.660000000000004</v>
      </c>
      <c r="K318" s="63">
        <f>0.04418*1000</f>
        <v>44.18</v>
      </c>
    </row>
    <row r="319" spans="1:11">
      <c r="A319" s="59">
        <v>5</v>
      </c>
      <c r="B319" s="60" t="s">
        <v>500</v>
      </c>
      <c r="C319" s="72" t="s">
        <v>10</v>
      </c>
      <c r="D319" s="61" t="s">
        <v>353</v>
      </c>
      <c r="E319" s="62" t="s">
        <v>359</v>
      </c>
      <c r="F319" s="63">
        <f>13.12332*1000</f>
        <v>13123.32</v>
      </c>
      <c r="G319" s="63">
        <f>0.0615*1000</f>
        <v>61.5</v>
      </c>
      <c r="H319" s="63">
        <f>0.16989*1000</f>
        <v>169.89000000000001</v>
      </c>
      <c r="I319" s="63">
        <f>13.12332*1000</f>
        <v>13123.32</v>
      </c>
      <c r="J319" s="63">
        <f>0.0882*1000</f>
        <v>88.2</v>
      </c>
      <c r="K319" s="63">
        <f>0.16989*1000</f>
        <v>169.89000000000001</v>
      </c>
    </row>
    <row r="320" spans="1:11">
      <c r="A320" s="59">
        <v>6</v>
      </c>
      <c r="B320" s="60" t="s">
        <v>500</v>
      </c>
      <c r="C320" s="72" t="s">
        <v>10</v>
      </c>
      <c r="D320" s="61" t="s">
        <v>353</v>
      </c>
      <c r="E320" s="62" t="s">
        <v>360</v>
      </c>
      <c r="F320" s="63">
        <f>97.98112*1000</f>
        <v>97981.12000000001</v>
      </c>
      <c r="G320" s="63">
        <f>0.08226*1000</f>
        <v>82.26</v>
      </c>
      <c r="H320" s="63">
        <f>0.34541*1000</f>
        <v>345.40999999999997</v>
      </c>
      <c r="I320" s="63">
        <f>97.98112*1000</f>
        <v>97981.12000000001</v>
      </c>
      <c r="J320" s="63">
        <f>0.08035*1000</f>
        <v>80.350000000000009</v>
      </c>
      <c r="K320" s="63">
        <f>0.34541*1000</f>
        <v>345.40999999999997</v>
      </c>
    </row>
    <row r="321" spans="1:11">
      <c r="A321" s="59">
        <v>7</v>
      </c>
      <c r="B321" s="60" t="s">
        <v>500</v>
      </c>
      <c r="C321" s="72" t="s">
        <v>10</v>
      </c>
      <c r="D321" s="61" t="s">
        <v>353</v>
      </c>
      <c r="E321" s="62" t="s">
        <v>361</v>
      </c>
      <c r="F321" s="63">
        <f>96.92532*1000</f>
        <v>96925.319999999992</v>
      </c>
      <c r="G321" s="63">
        <f>0.02879*1000</f>
        <v>28.79</v>
      </c>
      <c r="H321" s="63">
        <f>0.38986*1000</f>
        <v>389.85999999999996</v>
      </c>
      <c r="I321" s="63">
        <f>96.92532*1000</f>
        <v>96925.319999999992</v>
      </c>
      <c r="J321" s="63">
        <f>0.0463*1000</f>
        <v>46.300000000000004</v>
      </c>
      <c r="K321" s="63">
        <f>0.38986*1000</f>
        <v>389.85999999999996</v>
      </c>
    </row>
    <row r="322" spans="1:11">
      <c r="A322" s="59">
        <v>8</v>
      </c>
      <c r="B322" s="60" t="s">
        <v>500</v>
      </c>
      <c r="C322" s="72" t="s">
        <v>10</v>
      </c>
      <c r="D322" s="61" t="s">
        <v>353</v>
      </c>
      <c r="E322" s="62" t="s">
        <v>363</v>
      </c>
      <c r="F322" s="63">
        <f>125.28871*1000</f>
        <v>125288.70999999999</v>
      </c>
      <c r="G322" s="63">
        <v>0</v>
      </c>
      <c r="H322" s="63">
        <f>1.22713*1000</f>
        <v>1227.1300000000001</v>
      </c>
      <c r="I322" s="63">
        <f>125.28871*1000</f>
        <v>125288.70999999999</v>
      </c>
      <c r="J322" s="63">
        <v>0</v>
      </c>
      <c r="K322" s="63">
        <f>1.22713*1000</f>
        <v>1227.1300000000001</v>
      </c>
    </row>
    <row r="323" spans="1:11">
      <c r="A323" s="59">
        <v>9</v>
      </c>
      <c r="B323" s="60" t="s">
        <v>500</v>
      </c>
      <c r="C323" s="72" t="s">
        <v>10</v>
      </c>
      <c r="D323" s="61" t="s">
        <v>353</v>
      </c>
      <c r="E323" s="62" t="s">
        <v>364</v>
      </c>
      <c r="F323" s="63">
        <f>40.83198*1000</f>
        <v>40831.980000000003</v>
      </c>
      <c r="G323" s="63">
        <v>0</v>
      </c>
      <c r="H323" s="63">
        <f>0.53311*1000</f>
        <v>533.11</v>
      </c>
      <c r="I323" s="63">
        <f>40.83198*1000</f>
        <v>40831.980000000003</v>
      </c>
      <c r="J323" s="63">
        <v>0</v>
      </c>
      <c r="K323" s="63">
        <f>0.53311*1000</f>
        <v>533.11</v>
      </c>
    </row>
    <row r="324" spans="1:11">
      <c r="A324" s="59">
        <v>10</v>
      </c>
      <c r="B324" s="60" t="s">
        <v>500</v>
      </c>
      <c r="C324" s="72" t="s">
        <v>10</v>
      </c>
      <c r="D324" s="61" t="s">
        <v>353</v>
      </c>
      <c r="E324" s="62" t="s">
        <v>83</v>
      </c>
      <c r="F324" s="63">
        <f>575.93752*1000</f>
        <v>575937.5199999999</v>
      </c>
      <c r="G324" s="63">
        <f>0.11845*1000</f>
        <v>118.45</v>
      </c>
      <c r="H324" s="63">
        <f>1.24731*1000</f>
        <v>1247.31</v>
      </c>
      <c r="I324" s="63">
        <f>575.93752*1000</f>
        <v>575937.5199999999</v>
      </c>
      <c r="J324" s="63">
        <f>0.13188*1000</f>
        <v>131.88</v>
      </c>
      <c r="K324" s="63">
        <f>1.24731*1000</f>
        <v>1247.31</v>
      </c>
    </row>
    <row r="325" spans="1:11" ht="25.5">
      <c r="A325" s="59">
        <v>11</v>
      </c>
      <c r="B325" s="60" t="s">
        <v>500</v>
      </c>
      <c r="C325" s="72" t="s">
        <v>10</v>
      </c>
      <c r="D325" s="61" t="s">
        <v>353</v>
      </c>
      <c r="E325" s="62" t="s">
        <v>362</v>
      </c>
      <c r="F325" s="63">
        <f>178.75754*1000</f>
        <v>178757.54</v>
      </c>
      <c r="G325" s="63">
        <v>0</v>
      </c>
      <c r="H325" s="63">
        <f>0.41838*1000</f>
        <v>418.38</v>
      </c>
      <c r="I325" s="63">
        <f>178.75754*1000</f>
        <v>178757.54</v>
      </c>
      <c r="J325" s="63">
        <v>0</v>
      </c>
      <c r="K325" s="63">
        <f>0.41838*1000</f>
        <v>418.38</v>
      </c>
    </row>
    <row r="326" spans="1:11">
      <c r="A326" s="59">
        <v>12</v>
      </c>
      <c r="B326" s="60" t="s">
        <v>500</v>
      </c>
      <c r="C326" s="72" t="s">
        <v>10</v>
      </c>
      <c r="D326" s="61" t="s">
        <v>353</v>
      </c>
      <c r="E326" s="62" t="s">
        <v>365</v>
      </c>
      <c r="F326" s="63">
        <f>36.86803*1000</f>
        <v>36868.03</v>
      </c>
      <c r="G326" s="63">
        <f>0.05028*1000</f>
        <v>50.28</v>
      </c>
      <c r="H326" s="63">
        <f>0.16445*1000</f>
        <v>164.45000000000002</v>
      </c>
      <c r="I326" s="63">
        <f>36.86803*1000</f>
        <v>36868.03</v>
      </c>
      <c r="J326" s="63">
        <f>0.05471*1000</f>
        <v>54.71</v>
      </c>
      <c r="K326" s="63">
        <f>0.16445*1000</f>
        <v>164.45000000000002</v>
      </c>
    </row>
    <row r="327" spans="1:11">
      <c r="A327" s="59">
        <v>13</v>
      </c>
      <c r="B327" s="60" t="s">
        <v>500</v>
      </c>
      <c r="C327" s="72" t="s">
        <v>10</v>
      </c>
      <c r="D327" s="61" t="s">
        <v>353</v>
      </c>
      <c r="E327" s="62" t="s">
        <v>366</v>
      </c>
      <c r="F327" s="63">
        <f>83.37274*1000</f>
        <v>83372.739999999991</v>
      </c>
      <c r="G327" s="63">
        <f>0.05052*1000</f>
        <v>50.52</v>
      </c>
      <c r="H327" s="63">
        <f>0.20478*1000</f>
        <v>204.78</v>
      </c>
      <c r="I327" s="63">
        <f>83.37274*1000</f>
        <v>83372.739999999991</v>
      </c>
      <c r="J327" s="63">
        <f>0.04884*1000</f>
        <v>48.84</v>
      </c>
      <c r="K327" s="63">
        <f>0.20478*1000</f>
        <v>204.78</v>
      </c>
    </row>
    <row r="328" spans="1:11">
      <c r="A328" s="59">
        <v>14</v>
      </c>
      <c r="B328" s="60" t="s">
        <v>500</v>
      </c>
      <c r="C328" s="72" t="s">
        <v>10</v>
      </c>
      <c r="D328" s="61" t="s">
        <v>353</v>
      </c>
      <c r="E328" s="62" t="s">
        <v>367</v>
      </c>
      <c r="F328" s="63">
        <f>67.24938*1000</f>
        <v>67249.38</v>
      </c>
      <c r="G328" s="63">
        <f>0.10504*1000</f>
        <v>105.03999999999999</v>
      </c>
      <c r="H328" s="63">
        <f>0.27049*1000</f>
        <v>270.49</v>
      </c>
      <c r="I328" s="63">
        <f>67.24938*1000</f>
        <v>67249.38</v>
      </c>
      <c r="J328" s="63">
        <f>0.0834*1000</f>
        <v>83.4</v>
      </c>
      <c r="K328" s="63">
        <f>0.27049*1000</f>
        <v>270.49</v>
      </c>
    </row>
    <row r="329" spans="1:11" ht="25.5">
      <c r="A329" s="59">
        <v>15</v>
      </c>
      <c r="B329" s="60" t="s">
        <v>500</v>
      </c>
      <c r="C329" s="72" t="s">
        <v>10</v>
      </c>
      <c r="D329" s="61" t="s">
        <v>353</v>
      </c>
      <c r="E329" s="62" t="s">
        <v>368</v>
      </c>
      <c r="F329" s="63">
        <f>53.57458*1000</f>
        <v>53574.579999999994</v>
      </c>
      <c r="G329" s="63">
        <f>0.28352*1000</f>
        <v>283.52</v>
      </c>
      <c r="H329" s="63">
        <f>1.20927*1000</f>
        <v>1209.27</v>
      </c>
      <c r="I329" s="63">
        <f>53.57458*1000</f>
        <v>53574.579999999994</v>
      </c>
      <c r="J329" s="63">
        <f>0.28801*1000</f>
        <v>288.01</v>
      </c>
      <c r="K329" s="63">
        <f>1.20927*1000</f>
        <v>1209.27</v>
      </c>
    </row>
    <row r="330" spans="1:11">
      <c r="A330" s="59">
        <v>16</v>
      </c>
      <c r="B330" s="60" t="s">
        <v>500</v>
      </c>
      <c r="C330" s="72" t="s">
        <v>10</v>
      </c>
      <c r="D330" s="61" t="s">
        <v>353</v>
      </c>
      <c r="E330" s="62" t="s">
        <v>369</v>
      </c>
      <c r="F330" s="63">
        <f>436.80263*1000</f>
        <v>436802.63</v>
      </c>
      <c r="G330" s="63">
        <f>0.06581*1000</f>
        <v>65.809999999999988</v>
      </c>
      <c r="H330" s="63">
        <f>0.22973*1000</f>
        <v>229.73</v>
      </c>
      <c r="I330" s="63">
        <f>436.80263*1000</f>
        <v>436802.63</v>
      </c>
      <c r="J330" s="63">
        <f>0.06648*1000</f>
        <v>66.48</v>
      </c>
      <c r="K330" s="63">
        <f>0.22973*1000</f>
        <v>229.73</v>
      </c>
    </row>
    <row r="331" spans="1:11">
      <c r="A331" s="59">
        <v>17</v>
      </c>
      <c r="B331" s="60" t="s">
        <v>500</v>
      </c>
      <c r="C331" s="72" t="s">
        <v>10</v>
      </c>
      <c r="D331" s="61" t="s">
        <v>353</v>
      </c>
      <c r="E331" s="62" t="s">
        <v>370</v>
      </c>
      <c r="F331" s="63">
        <f>648.44253*1000</f>
        <v>648442.53</v>
      </c>
      <c r="G331" s="63">
        <f>0.47441*1000</f>
        <v>474.41</v>
      </c>
      <c r="H331" s="63">
        <f>1.74363*1000</f>
        <v>1743.63</v>
      </c>
      <c r="I331" s="63">
        <f>648.44253*1000</f>
        <v>648442.53</v>
      </c>
      <c r="J331" s="63">
        <f>0.40403*1000</f>
        <v>404.03</v>
      </c>
      <c r="K331" s="63">
        <f>1.74363*1000</f>
        <v>1743.63</v>
      </c>
    </row>
    <row r="332" spans="1:11">
      <c r="A332" s="59">
        <v>18</v>
      </c>
      <c r="B332" s="60" t="s">
        <v>500</v>
      </c>
      <c r="C332" s="72" t="s">
        <v>10</v>
      </c>
      <c r="D332" s="61" t="s">
        <v>353</v>
      </c>
      <c r="E332" s="62" t="s">
        <v>371</v>
      </c>
      <c r="F332" s="63">
        <f>283.29833*1000</f>
        <v>283298.33</v>
      </c>
      <c r="G332" s="63">
        <f>0.53194*1000</f>
        <v>531.93999999999994</v>
      </c>
      <c r="H332" s="63">
        <f>0.9829*1000</f>
        <v>982.9</v>
      </c>
      <c r="I332" s="63">
        <f>283.29833*1000</f>
        <v>283298.33</v>
      </c>
      <c r="J332" s="63">
        <f>0.49519*1000</f>
        <v>495.19</v>
      </c>
      <c r="K332" s="63">
        <f>0.9829*1000</f>
        <v>982.9</v>
      </c>
    </row>
    <row r="333" spans="1:11">
      <c r="A333" s="59">
        <v>19</v>
      </c>
      <c r="B333" s="60" t="s">
        <v>500</v>
      </c>
      <c r="C333" s="72" t="s">
        <v>10</v>
      </c>
      <c r="D333" s="61" t="s">
        <v>353</v>
      </c>
      <c r="E333" s="62" t="s">
        <v>372</v>
      </c>
      <c r="F333" s="63">
        <f>140.9762*1000</f>
        <v>140976.20000000001</v>
      </c>
      <c r="G333" s="63">
        <f>0.01357*1000</f>
        <v>13.57</v>
      </c>
      <c r="H333" s="63">
        <f>0.1454*1000</f>
        <v>145.4</v>
      </c>
      <c r="I333" s="63">
        <f>140.9762*1000</f>
        <v>140976.20000000001</v>
      </c>
      <c r="J333" s="63">
        <f>0.02068*1000</f>
        <v>20.68</v>
      </c>
      <c r="K333" s="63">
        <f>0.1454*1000</f>
        <v>145.4</v>
      </c>
    </row>
    <row r="334" spans="1:11">
      <c r="A334" s="59">
        <v>20</v>
      </c>
      <c r="B334" s="60" t="s">
        <v>500</v>
      </c>
      <c r="C334" s="72" t="s">
        <v>10</v>
      </c>
      <c r="D334" s="61" t="s">
        <v>353</v>
      </c>
      <c r="E334" s="62" t="s">
        <v>373</v>
      </c>
      <c r="F334" s="63">
        <f>51.12416*1000</f>
        <v>51124.160000000003</v>
      </c>
      <c r="G334" s="63">
        <f>0.03065*1000</f>
        <v>30.65</v>
      </c>
      <c r="H334" s="63">
        <f>0.34525*1000</f>
        <v>345.25</v>
      </c>
      <c r="I334" s="63">
        <f>51.12416*1000</f>
        <v>51124.160000000003</v>
      </c>
      <c r="J334" s="63">
        <f>0.02363*1000</f>
        <v>23.630000000000003</v>
      </c>
      <c r="K334" s="63">
        <f>0.34525*1000</f>
        <v>345.25</v>
      </c>
    </row>
    <row r="335" spans="1:11">
      <c r="A335" s="59">
        <v>21</v>
      </c>
      <c r="B335" s="60" t="s">
        <v>500</v>
      </c>
      <c r="C335" s="72" t="s">
        <v>10</v>
      </c>
      <c r="D335" s="61" t="s">
        <v>353</v>
      </c>
      <c r="E335" s="62" t="s">
        <v>374</v>
      </c>
      <c r="F335" s="63">
        <f>15.24009*1000</f>
        <v>15240.09</v>
      </c>
      <c r="G335" s="63">
        <f>0.09901*1000</f>
        <v>99.01</v>
      </c>
      <c r="H335" s="63">
        <f>0.34184*1000</f>
        <v>341.84</v>
      </c>
      <c r="I335" s="63">
        <f>15.24009*1000</f>
        <v>15240.09</v>
      </c>
      <c r="J335" s="63">
        <f>0.09566*1000</f>
        <v>95.66</v>
      </c>
      <c r="K335" s="63">
        <f>0.34184*1000</f>
        <v>341.84</v>
      </c>
    </row>
    <row r="336" spans="1:11">
      <c r="A336" s="59">
        <v>22</v>
      </c>
      <c r="B336" s="60" t="s">
        <v>500</v>
      </c>
      <c r="C336" s="72" t="s">
        <v>10</v>
      </c>
      <c r="D336" s="61" t="s">
        <v>353</v>
      </c>
      <c r="E336" s="62" t="s">
        <v>375</v>
      </c>
      <c r="F336" s="63">
        <f>30.15002*1000</f>
        <v>30150.02</v>
      </c>
      <c r="G336" s="63">
        <v>0</v>
      </c>
      <c r="H336" s="63">
        <f>0.01347*1000</f>
        <v>13.469999999999999</v>
      </c>
      <c r="I336" s="63">
        <f>30.15002*1000</f>
        <v>30150.02</v>
      </c>
      <c r="J336" s="63">
        <v>0</v>
      </c>
      <c r="K336" s="63">
        <f>0.01347*1000</f>
        <v>13.469999999999999</v>
      </c>
    </row>
    <row r="337" spans="1:11">
      <c r="A337" s="59">
        <v>23</v>
      </c>
      <c r="B337" s="60" t="s">
        <v>500</v>
      </c>
      <c r="C337" s="72" t="s">
        <v>10</v>
      </c>
      <c r="D337" s="61" t="s">
        <v>353</v>
      </c>
      <c r="E337" s="62" t="s">
        <v>377</v>
      </c>
      <c r="F337" s="63">
        <f>8.4906*1000</f>
        <v>8490.6</v>
      </c>
      <c r="G337" s="63">
        <v>0</v>
      </c>
      <c r="H337" s="63">
        <f>0.1055*1000</f>
        <v>105.5</v>
      </c>
      <c r="I337" s="63">
        <f>8.4906*1000</f>
        <v>8490.6</v>
      </c>
      <c r="J337" s="63">
        <v>0</v>
      </c>
      <c r="K337" s="63">
        <f>0.1055*1000</f>
        <v>105.5</v>
      </c>
    </row>
    <row r="338" spans="1:11">
      <c r="A338" s="59">
        <v>24</v>
      </c>
      <c r="B338" s="60" t="s">
        <v>500</v>
      </c>
      <c r="C338" s="72" t="s">
        <v>10</v>
      </c>
      <c r="D338" s="61" t="s">
        <v>353</v>
      </c>
      <c r="E338" s="62" t="s">
        <v>376</v>
      </c>
      <c r="F338" s="63">
        <f>126.26728*1000</f>
        <v>126267.28</v>
      </c>
      <c r="G338" s="63">
        <f>0.56266*1000</f>
        <v>562.66000000000008</v>
      </c>
      <c r="H338" s="63">
        <f>1.53936*1000</f>
        <v>1539.3600000000001</v>
      </c>
      <c r="I338" s="63">
        <f>126.26728*1000</f>
        <v>126267.28</v>
      </c>
      <c r="J338" s="63">
        <f>0.49035*1000</f>
        <v>490.35</v>
      </c>
      <c r="K338" s="63">
        <f>1.53936*1000</f>
        <v>1539.3600000000001</v>
      </c>
    </row>
    <row r="339" spans="1:11" ht="25.5">
      <c r="A339" s="59">
        <v>25</v>
      </c>
      <c r="B339" s="60" t="s">
        <v>500</v>
      </c>
      <c r="C339" s="72" t="s">
        <v>10</v>
      </c>
      <c r="D339" s="61" t="s">
        <v>353</v>
      </c>
      <c r="E339" s="62" t="s">
        <v>378</v>
      </c>
      <c r="F339" s="63">
        <f>43.44228*1000</f>
        <v>43442.28</v>
      </c>
      <c r="G339" s="63">
        <v>0</v>
      </c>
      <c r="H339" s="63">
        <f>0.14202*1000</f>
        <v>142.02000000000001</v>
      </c>
      <c r="I339" s="63">
        <f>43.44228*1000</f>
        <v>43442.28</v>
      </c>
      <c r="J339" s="63">
        <v>0</v>
      </c>
      <c r="K339" s="63">
        <f>0.14202*1000</f>
        <v>142.02000000000001</v>
      </c>
    </row>
    <row r="340" spans="1:11">
      <c r="A340" s="59">
        <v>26</v>
      </c>
      <c r="B340" s="60" t="s">
        <v>500</v>
      </c>
      <c r="C340" s="72" t="s">
        <v>10</v>
      </c>
      <c r="D340" s="61" t="s">
        <v>353</v>
      </c>
      <c r="E340" s="62" t="s">
        <v>379</v>
      </c>
      <c r="F340" s="63">
        <f>228.71227*1000</f>
        <v>228712.27</v>
      </c>
      <c r="G340" s="63">
        <f>0.04133*1000</f>
        <v>41.33</v>
      </c>
      <c r="H340" s="63">
        <f>0.85589*1000</f>
        <v>855.89</v>
      </c>
      <c r="I340" s="63">
        <f>228.71227*1000</f>
        <v>228712.27</v>
      </c>
      <c r="J340" s="63">
        <f>0.03862*1000</f>
        <v>38.620000000000005</v>
      </c>
      <c r="K340" s="63">
        <f>0.85589*1000</f>
        <v>855.89</v>
      </c>
    </row>
    <row r="341" spans="1:11">
      <c r="A341" s="59">
        <v>27</v>
      </c>
      <c r="B341" s="60" t="s">
        <v>500</v>
      </c>
      <c r="C341" s="72" t="s">
        <v>10</v>
      </c>
      <c r="D341" s="61" t="s">
        <v>353</v>
      </c>
      <c r="E341" s="62" t="s">
        <v>380</v>
      </c>
      <c r="F341" s="63">
        <f>302.66042*1000</f>
        <v>302660.42</v>
      </c>
      <c r="G341" s="63">
        <f>0.51096*1000</f>
        <v>510.96</v>
      </c>
      <c r="H341" s="63">
        <f>1.0853*1000</f>
        <v>1085.3</v>
      </c>
      <c r="I341" s="63">
        <f>302.66042*1000</f>
        <v>302660.42</v>
      </c>
      <c r="J341" s="63">
        <f>0.39323*1000</f>
        <v>393.23</v>
      </c>
      <c r="K341" s="63">
        <f>1.0853*1000</f>
        <v>1085.3</v>
      </c>
    </row>
    <row r="342" spans="1:11" ht="25.5">
      <c r="A342" s="59">
        <v>28</v>
      </c>
      <c r="B342" s="60" t="s">
        <v>500</v>
      </c>
      <c r="C342" s="72" t="s">
        <v>10</v>
      </c>
      <c r="D342" s="61" t="s">
        <v>353</v>
      </c>
      <c r="E342" s="62" t="s">
        <v>381</v>
      </c>
      <c r="F342" s="63">
        <f>90.55966*1000</f>
        <v>90559.659999999989</v>
      </c>
      <c r="G342" s="63">
        <f>0.1696*1000</f>
        <v>169.6</v>
      </c>
      <c r="H342" s="63">
        <f>0.44993*1000</f>
        <v>449.93</v>
      </c>
      <c r="I342" s="63">
        <f>90.55966*1000</f>
        <v>90559.659999999989</v>
      </c>
      <c r="J342" s="63">
        <f>0.16321*1000</f>
        <v>163.21</v>
      </c>
      <c r="K342" s="63">
        <f>0.44993*1000</f>
        <v>449.93</v>
      </c>
    </row>
    <row r="343" spans="1:11">
      <c r="A343" s="59">
        <v>29</v>
      </c>
      <c r="B343" s="60" t="s">
        <v>500</v>
      </c>
      <c r="C343" s="72" t="s">
        <v>10</v>
      </c>
      <c r="D343" s="61" t="s">
        <v>353</v>
      </c>
      <c r="E343" s="62" t="s">
        <v>382</v>
      </c>
      <c r="F343" s="63">
        <f>88.01174*1000</f>
        <v>88011.74</v>
      </c>
      <c r="G343" s="63">
        <f>0.86101*1000</f>
        <v>861.0100000000001</v>
      </c>
      <c r="H343" s="63">
        <f>1.03319*1000</f>
        <v>1033.19</v>
      </c>
      <c r="I343" s="63">
        <f>88.01174*1000</f>
        <v>88011.74</v>
      </c>
      <c r="J343" s="63">
        <f>0.65719*1000</f>
        <v>657.19</v>
      </c>
      <c r="K343" s="63">
        <f>1.03319*1000</f>
        <v>1033.19</v>
      </c>
    </row>
    <row r="344" spans="1:11">
      <c r="A344" s="59">
        <v>30</v>
      </c>
      <c r="B344" s="60" t="s">
        <v>500</v>
      </c>
      <c r="C344" s="72" t="s">
        <v>10</v>
      </c>
      <c r="D344" s="61" t="s">
        <v>353</v>
      </c>
      <c r="E344" s="62" t="s">
        <v>383</v>
      </c>
      <c r="F344" s="63">
        <f>127.6146*1000</f>
        <v>127614.59999999999</v>
      </c>
      <c r="G344" s="63">
        <f>0.33322*1000</f>
        <v>333.22</v>
      </c>
      <c r="H344" s="63">
        <f>0.42703*1000</f>
        <v>427.03000000000003</v>
      </c>
      <c r="I344" s="63">
        <f>127.6146*1000</f>
        <v>127614.59999999999</v>
      </c>
      <c r="J344" s="63">
        <f>0.22182*1000</f>
        <v>221.82</v>
      </c>
      <c r="K344" s="63">
        <f>0.42703*1000</f>
        <v>427.03000000000003</v>
      </c>
    </row>
    <row r="345" spans="1:11" ht="38.25">
      <c r="A345" s="59">
        <v>31</v>
      </c>
      <c r="B345" s="60" t="s">
        <v>500</v>
      </c>
      <c r="C345" s="72" t="s">
        <v>10</v>
      </c>
      <c r="D345" s="61" t="s">
        <v>353</v>
      </c>
      <c r="E345" s="62" t="s">
        <v>384</v>
      </c>
      <c r="F345" s="63">
        <f>39.39527*1000</f>
        <v>39395.269999999997</v>
      </c>
      <c r="G345" s="63">
        <v>0</v>
      </c>
      <c r="H345" s="63">
        <f>0.04679*1000</f>
        <v>46.79</v>
      </c>
      <c r="I345" s="63">
        <f>39.39527*1000</f>
        <v>39395.269999999997</v>
      </c>
      <c r="J345" s="63">
        <v>0</v>
      </c>
      <c r="K345" s="63">
        <f>0.04679*1000</f>
        <v>46.79</v>
      </c>
    </row>
    <row r="346" spans="1:11">
      <c r="A346" s="59">
        <v>32</v>
      </c>
      <c r="B346" s="60" t="s">
        <v>500</v>
      </c>
      <c r="C346" s="72" t="s">
        <v>10</v>
      </c>
      <c r="D346" s="61" t="s">
        <v>353</v>
      </c>
      <c r="E346" s="62" t="s">
        <v>385</v>
      </c>
      <c r="F346" s="63">
        <f>452.29931*1000</f>
        <v>452299.31</v>
      </c>
      <c r="G346" s="63">
        <f>0.79932*1000</f>
        <v>799.32</v>
      </c>
      <c r="H346" s="63">
        <f>1.23578*1000</f>
        <v>1235.7800000000002</v>
      </c>
      <c r="I346" s="63">
        <f>452.29931*1000</f>
        <v>452299.31</v>
      </c>
      <c r="J346" s="63">
        <f>0.48854*1000</f>
        <v>488.53999999999996</v>
      </c>
      <c r="K346" s="63">
        <f>1.23578*1000</f>
        <v>1235.7800000000002</v>
      </c>
    </row>
    <row r="347" spans="1:11">
      <c r="A347" s="59">
        <v>33</v>
      </c>
      <c r="B347" s="60" t="s">
        <v>500</v>
      </c>
      <c r="C347" s="72" t="s">
        <v>10</v>
      </c>
      <c r="D347" s="61" t="s">
        <v>353</v>
      </c>
      <c r="E347" s="62" t="s">
        <v>386</v>
      </c>
      <c r="F347" s="63">
        <f>8.1775*1000</f>
        <v>8177.5</v>
      </c>
      <c r="G347" s="63">
        <f>0.03341*1000</f>
        <v>33.410000000000004</v>
      </c>
      <c r="H347" s="63">
        <f>0.06557*1000</f>
        <v>65.570000000000007</v>
      </c>
      <c r="I347" s="63">
        <f>8.1775*1000</f>
        <v>8177.5</v>
      </c>
      <c r="J347" s="63">
        <f>0.03164*1000</f>
        <v>31.64</v>
      </c>
      <c r="K347" s="63">
        <f>0.06557*1000</f>
        <v>65.570000000000007</v>
      </c>
    </row>
    <row r="348" spans="1:11">
      <c r="A348" s="59">
        <v>34</v>
      </c>
      <c r="B348" s="60" t="s">
        <v>500</v>
      </c>
      <c r="C348" s="72" t="s">
        <v>10</v>
      </c>
      <c r="D348" s="61" t="s">
        <v>353</v>
      </c>
      <c r="E348" s="62" t="s">
        <v>387</v>
      </c>
      <c r="F348" s="63">
        <f>223.64863*1000</f>
        <v>223648.63</v>
      </c>
      <c r="G348" s="63">
        <v>0</v>
      </c>
      <c r="H348" s="63">
        <f>0.77441*1000</f>
        <v>774.41000000000008</v>
      </c>
      <c r="I348" s="63">
        <f>223.64863*1000</f>
        <v>223648.63</v>
      </c>
      <c r="J348" s="63">
        <v>0</v>
      </c>
      <c r="K348" s="63">
        <f>0.77441*1000</f>
        <v>774.41000000000008</v>
      </c>
    </row>
    <row r="349" spans="1:11">
      <c r="A349" s="59">
        <v>35</v>
      </c>
      <c r="B349" s="60" t="s">
        <v>501</v>
      </c>
      <c r="C349" s="72" t="s">
        <v>10</v>
      </c>
      <c r="D349" s="61" t="s">
        <v>353</v>
      </c>
      <c r="E349" s="62" t="s">
        <v>388</v>
      </c>
      <c r="F349" s="63">
        <f>152.69567*1000</f>
        <v>152695.67000000001</v>
      </c>
      <c r="G349" s="63">
        <f>0.05982*1000</f>
        <v>59.82</v>
      </c>
      <c r="H349" s="63">
        <f>0.46331*1000</f>
        <v>463.31</v>
      </c>
      <c r="I349" s="63">
        <f>152.69567*1000</f>
        <v>152695.67000000001</v>
      </c>
      <c r="J349" s="63">
        <f>0.06004*1000</f>
        <v>60.040000000000006</v>
      </c>
      <c r="K349" s="63">
        <f>0.46331*1000</f>
        <v>463.31</v>
      </c>
    </row>
    <row r="350" spans="1:11">
      <c r="A350" s="59">
        <v>36</v>
      </c>
      <c r="B350" s="60" t="s">
        <v>500</v>
      </c>
      <c r="C350" s="72" t="s">
        <v>10</v>
      </c>
      <c r="D350" s="61" t="s">
        <v>353</v>
      </c>
      <c r="E350" s="62" t="s">
        <v>389</v>
      </c>
      <c r="F350" s="63">
        <f>10.00561*1000</f>
        <v>10005.61</v>
      </c>
      <c r="G350" s="63">
        <f>0.01534*1000</f>
        <v>15.34</v>
      </c>
      <c r="H350" s="63">
        <f>0.02889*1000</f>
        <v>28.89</v>
      </c>
      <c r="I350" s="63">
        <f>10.00561*1000</f>
        <v>10005.61</v>
      </c>
      <c r="J350" s="63">
        <f>0.01501*1000</f>
        <v>15.010000000000002</v>
      </c>
      <c r="K350" s="63">
        <f>0.02889*1000</f>
        <v>28.89</v>
      </c>
    </row>
    <row r="351" spans="1:11" ht="25.5">
      <c r="A351" s="59">
        <v>37</v>
      </c>
      <c r="B351" s="60" t="s">
        <v>500</v>
      </c>
      <c r="C351" s="72" t="s">
        <v>10</v>
      </c>
      <c r="D351" s="61" t="s">
        <v>353</v>
      </c>
      <c r="E351" s="62" t="s">
        <v>390</v>
      </c>
      <c r="F351" s="63">
        <f>72.35318*1000</f>
        <v>72353.179999999993</v>
      </c>
      <c r="G351" s="63">
        <f>0.17951*1000</f>
        <v>179.51</v>
      </c>
      <c r="H351" s="63">
        <f>0.59578*1000</f>
        <v>595.78</v>
      </c>
      <c r="I351" s="63">
        <f>72.35318*1000</f>
        <v>72353.179999999993</v>
      </c>
      <c r="J351" s="63">
        <f>0.16862*1000</f>
        <v>168.62</v>
      </c>
      <c r="K351" s="63">
        <f>0.59578*1000</f>
        <v>595.78</v>
      </c>
    </row>
    <row r="352" spans="1:11">
      <c r="A352" s="59">
        <v>38</v>
      </c>
      <c r="B352" s="60" t="s">
        <v>500</v>
      </c>
      <c r="C352" s="72" t="s">
        <v>10</v>
      </c>
      <c r="D352" s="61" t="s">
        <v>353</v>
      </c>
      <c r="E352" s="62" t="s">
        <v>391</v>
      </c>
      <c r="F352" s="63">
        <f>56.50698*1000</f>
        <v>56506.979999999996</v>
      </c>
      <c r="G352" s="63">
        <v>0</v>
      </c>
      <c r="H352" s="63">
        <f>0.23161*1000</f>
        <v>231.61</v>
      </c>
      <c r="I352" s="63">
        <f>56.50698*1000</f>
        <v>56506.979999999996</v>
      </c>
      <c r="J352" s="63">
        <v>0</v>
      </c>
      <c r="K352" s="63">
        <f>0.23161*1000</f>
        <v>231.61</v>
      </c>
    </row>
    <row r="353" spans="1:11">
      <c r="A353" s="59">
        <v>39</v>
      </c>
      <c r="B353" s="60" t="s">
        <v>500</v>
      </c>
      <c r="C353" s="72" t="s">
        <v>10</v>
      </c>
      <c r="D353" s="61" t="s">
        <v>353</v>
      </c>
      <c r="E353" s="62" t="s">
        <v>392</v>
      </c>
      <c r="F353" s="63">
        <f>46.49541*1000</f>
        <v>46495.409999999996</v>
      </c>
      <c r="G353" s="63">
        <f>0.23451*1000</f>
        <v>234.51</v>
      </c>
      <c r="H353" s="63">
        <f>0.45087*1000</f>
        <v>450.87</v>
      </c>
      <c r="I353" s="63">
        <f>46.49541*1000</f>
        <v>46495.409999999996</v>
      </c>
      <c r="J353" s="63">
        <f>0.24431*1000</f>
        <v>244.31</v>
      </c>
      <c r="K353" s="63">
        <f>0.45087*1000</f>
        <v>450.87</v>
      </c>
    </row>
    <row r="354" spans="1:11">
      <c r="A354" s="59">
        <v>40</v>
      </c>
      <c r="B354" s="60" t="s">
        <v>500</v>
      </c>
      <c r="C354" s="72" t="s">
        <v>10</v>
      </c>
      <c r="D354" s="61" t="s">
        <v>353</v>
      </c>
      <c r="E354" s="62" t="s">
        <v>393</v>
      </c>
      <c r="F354" s="63">
        <f>64.39041*1000</f>
        <v>64390.41</v>
      </c>
      <c r="G354" s="63">
        <v>0</v>
      </c>
      <c r="H354" s="63">
        <f>0.23527*1000</f>
        <v>235.27</v>
      </c>
      <c r="I354" s="63">
        <f>64.39041*1000</f>
        <v>64390.41</v>
      </c>
      <c r="J354" s="63">
        <v>0</v>
      </c>
      <c r="K354" s="63">
        <f>0.23527*1000</f>
        <v>235.27</v>
      </c>
    </row>
    <row r="355" spans="1:11">
      <c r="A355" s="59">
        <v>41</v>
      </c>
      <c r="B355" s="60" t="s">
        <v>500</v>
      </c>
      <c r="C355" s="72" t="s">
        <v>10</v>
      </c>
      <c r="D355" s="61" t="s">
        <v>353</v>
      </c>
      <c r="E355" s="62" t="s">
        <v>396</v>
      </c>
      <c r="F355" s="63">
        <f>58.73828*1000</f>
        <v>58738.280000000006</v>
      </c>
      <c r="G355" s="63">
        <v>0</v>
      </c>
      <c r="H355" s="63">
        <f>0.21254*1000</f>
        <v>212.54000000000002</v>
      </c>
      <c r="I355" s="63">
        <f>58.73828*1000</f>
        <v>58738.280000000006</v>
      </c>
      <c r="J355" s="63">
        <v>0</v>
      </c>
      <c r="K355" s="63">
        <f>0.21254*1000</f>
        <v>212.54000000000002</v>
      </c>
    </row>
    <row r="356" spans="1:11">
      <c r="A356" s="59">
        <v>42</v>
      </c>
      <c r="B356" s="60" t="s">
        <v>500</v>
      </c>
      <c r="C356" s="72" t="s">
        <v>10</v>
      </c>
      <c r="D356" s="61" t="s">
        <v>353</v>
      </c>
      <c r="E356" s="62" t="s">
        <v>397</v>
      </c>
      <c r="F356" s="63">
        <f>51.34116*1000</f>
        <v>51341.16</v>
      </c>
      <c r="G356" s="63">
        <v>0</v>
      </c>
      <c r="H356" s="63">
        <f>0.1031*1000</f>
        <v>103.1</v>
      </c>
      <c r="I356" s="63">
        <f>51.34116*1000</f>
        <v>51341.16</v>
      </c>
      <c r="J356" s="63">
        <v>0</v>
      </c>
      <c r="K356" s="63">
        <f>0.1031*1000</f>
        <v>103.1</v>
      </c>
    </row>
    <row r="357" spans="1:11">
      <c r="A357" s="59">
        <v>43</v>
      </c>
      <c r="B357" s="60" t="s">
        <v>500</v>
      </c>
      <c r="C357" s="72" t="s">
        <v>10</v>
      </c>
      <c r="D357" s="61" t="s">
        <v>353</v>
      </c>
      <c r="E357" s="62" t="s">
        <v>398</v>
      </c>
      <c r="F357" s="63">
        <f>260.11861*1000</f>
        <v>260118.61</v>
      </c>
      <c r="G357" s="63">
        <v>0</v>
      </c>
      <c r="H357" s="63">
        <f>0.69886*1000</f>
        <v>698.86</v>
      </c>
      <c r="I357" s="63">
        <f>260.11861*1000</f>
        <v>260118.61</v>
      </c>
      <c r="J357" s="63">
        <v>0</v>
      </c>
      <c r="K357" s="63">
        <f>0.69886*1000</f>
        <v>698.86</v>
      </c>
    </row>
    <row r="358" spans="1:11" ht="25.5">
      <c r="A358" s="59">
        <v>44</v>
      </c>
      <c r="B358" s="60" t="s">
        <v>502</v>
      </c>
      <c r="C358" s="72" t="s">
        <v>10</v>
      </c>
      <c r="D358" s="61" t="s">
        <v>353</v>
      </c>
      <c r="E358" s="62" t="s">
        <v>399</v>
      </c>
      <c r="F358" s="63">
        <f>9.58987*1000</f>
        <v>9589.869999999999</v>
      </c>
      <c r="G358" s="63">
        <v>0</v>
      </c>
      <c r="H358" s="63">
        <f>0.05903*1000</f>
        <v>59.03</v>
      </c>
      <c r="I358" s="63">
        <f>9.58987*1000</f>
        <v>9589.869999999999</v>
      </c>
      <c r="J358" s="63">
        <v>0</v>
      </c>
      <c r="K358" s="63">
        <f>0.05903*1000</f>
        <v>59.03</v>
      </c>
    </row>
    <row r="359" spans="1:11">
      <c r="A359" s="59">
        <v>45</v>
      </c>
      <c r="B359" s="60" t="s">
        <v>500</v>
      </c>
      <c r="C359" s="72" t="s">
        <v>10</v>
      </c>
      <c r="D359" s="61" t="s">
        <v>353</v>
      </c>
      <c r="E359" s="62" t="s">
        <v>400</v>
      </c>
      <c r="F359" s="63">
        <f>232.73074*1000</f>
        <v>232730.74</v>
      </c>
      <c r="G359" s="63">
        <f>0.0507*1000</f>
        <v>50.7</v>
      </c>
      <c r="H359" s="63">
        <f>0.49434*1000</f>
        <v>494.34</v>
      </c>
      <c r="I359" s="63">
        <f>232.73074*1000</f>
        <v>232730.74</v>
      </c>
      <c r="J359" s="63">
        <f>0.04803*1000</f>
        <v>48.03</v>
      </c>
      <c r="K359" s="63">
        <f>0.49434*1000</f>
        <v>494.34</v>
      </c>
    </row>
  </sheetData>
  <mergeCells count="23">
    <mergeCell ref="A314:K314"/>
    <mergeCell ref="A294:K294"/>
    <mergeCell ref="H4:H5"/>
    <mergeCell ref="F4:G4"/>
    <mergeCell ref="A8:K8"/>
    <mergeCell ref="A173:K173"/>
    <mergeCell ref="A81:K81"/>
    <mergeCell ref="A158:K158"/>
    <mergeCell ref="A190:K190"/>
    <mergeCell ref="A213:K213"/>
    <mergeCell ref="C3:C6"/>
    <mergeCell ref="E3:E6"/>
    <mergeCell ref="D3:D6"/>
    <mergeCell ref="A9:K9"/>
    <mergeCell ref="B3:B6"/>
    <mergeCell ref="A3:A6"/>
    <mergeCell ref="I3:K3"/>
    <mergeCell ref="I4:J4"/>
    <mergeCell ref="K4:K5"/>
    <mergeCell ref="A232:K232"/>
    <mergeCell ref="A283:K283"/>
    <mergeCell ref="F3:H3"/>
    <mergeCell ref="A38:K3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259"/>
  <sheetViews>
    <sheetView zoomScale="80" zoomScaleNormal="80" zoomScaleSheetLayoutView="100" workbookViewId="0">
      <selection activeCell="G9" sqref="G9"/>
    </sheetView>
  </sheetViews>
  <sheetFormatPr defaultRowHeight="12.75"/>
  <cols>
    <col min="2" max="2" width="24.85546875" customWidth="1"/>
    <col min="3" max="3" width="23.5703125" customWidth="1"/>
    <col min="4" max="5" width="21.140625" customWidth="1"/>
    <col min="6" max="6" width="27.85546875" customWidth="1"/>
    <col min="7" max="7" width="27.140625" customWidth="1"/>
    <col min="8" max="8" width="24.140625" style="11" customWidth="1"/>
    <col min="14" max="14" width="5.42578125" customWidth="1"/>
    <col min="15" max="16" width="9.140625" hidden="1" customWidth="1"/>
  </cols>
  <sheetData>
    <row r="1" spans="1:8" ht="13.5" thickBot="1">
      <c r="H1" s="12" t="s">
        <v>401</v>
      </c>
    </row>
    <row r="2" spans="1:8" ht="16.5" thickBot="1">
      <c r="A2" s="202" t="s">
        <v>402</v>
      </c>
      <c r="B2" s="203"/>
      <c r="C2" s="203"/>
      <c r="D2" s="203"/>
      <c r="E2" s="203"/>
      <c r="F2" s="203"/>
      <c r="G2" s="203"/>
      <c r="H2" s="204"/>
    </row>
    <row r="3" spans="1:8" ht="32.25" customHeight="1" thickBot="1">
      <c r="A3" s="212" t="s">
        <v>403</v>
      </c>
      <c r="B3" s="213"/>
      <c r="C3" s="214"/>
      <c r="D3" s="210" t="s">
        <v>17</v>
      </c>
      <c r="E3" s="210" t="s">
        <v>18</v>
      </c>
      <c r="F3" s="202" t="s">
        <v>20</v>
      </c>
      <c r="G3" s="204"/>
      <c r="H3" s="210" t="s">
        <v>404</v>
      </c>
    </row>
    <row r="4" spans="1:8" ht="62.25" customHeight="1" thickBot="1">
      <c r="A4" s="215"/>
      <c r="B4" s="216"/>
      <c r="C4" s="217"/>
      <c r="D4" s="211"/>
      <c r="E4" s="211"/>
      <c r="F4" s="9" t="s">
        <v>406</v>
      </c>
      <c r="G4" s="10" t="s">
        <v>405</v>
      </c>
      <c r="H4" s="211"/>
    </row>
    <row r="5" spans="1:8" ht="15" thickBot="1">
      <c r="A5" s="205" t="s">
        <v>27</v>
      </c>
      <c r="B5" s="206"/>
      <c r="C5" s="206"/>
      <c r="D5" s="206"/>
      <c r="E5" s="206"/>
      <c r="F5" s="206"/>
      <c r="G5" s="206"/>
      <c r="H5" s="207"/>
    </row>
    <row r="6" spans="1:8" ht="21" thickBot="1">
      <c r="A6" s="143" t="s">
        <v>29</v>
      </c>
      <c r="B6" s="144"/>
      <c r="C6" s="144"/>
      <c r="D6" s="144"/>
      <c r="E6" s="144"/>
      <c r="F6" s="144"/>
      <c r="G6" s="144"/>
      <c r="H6" s="145"/>
    </row>
    <row r="7" spans="1:8" ht="14.25" customHeight="1">
      <c r="A7" s="176" t="s">
        <v>407</v>
      </c>
      <c r="B7" s="177"/>
      <c r="C7" s="177"/>
      <c r="D7" s="177"/>
      <c r="E7" s="177"/>
      <c r="F7" s="177"/>
      <c r="G7" s="177"/>
      <c r="H7" s="178"/>
    </row>
    <row r="8" spans="1:8" ht="14.25" customHeight="1">
      <c r="A8" s="121" t="s">
        <v>408</v>
      </c>
      <c r="B8" s="122"/>
      <c r="C8" s="122"/>
      <c r="D8" s="122"/>
      <c r="E8" s="122"/>
      <c r="F8" s="122"/>
      <c r="G8" s="122"/>
      <c r="H8" s="123"/>
    </row>
    <row r="9" spans="1:8" ht="15">
      <c r="A9" s="163">
        <v>1</v>
      </c>
      <c r="B9" s="181" t="s">
        <v>504</v>
      </c>
      <c r="C9" s="79" t="s">
        <v>411</v>
      </c>
      <c r="D9" s="142">
        <f>[1]котловые!$D$9</f>
        <v>41660</v>
      </c>
      <c r="E9" s="132" t="s">
        <v>410</v>
      </c>
      <c r="F9" s="18">
        <f>[2]котловые!F9</f>
        <v>946754.56000000006</v>
      </c>
      <c r="G9" s="18">
        <f>[2]котловые!G9</f>
        <v>29.72</v>
      </c>
      <c r="H9" s="19">
        <f>[2]котловые!H9</f>
        <v>1322.29</v>
      </c>
    </row>
    <row r="10" spans="1:8" ht="15">
      <c r="A10" s="163"/>
      <c r="B10" s="181"/>
      <c r="C10" s="79" t="s">
        <v>412</v>
      </c>
      <c r="D10" s="132"/>
      <c r="E10" s="132"/>
      <c r="F10" s="18"/>
      <c r="G10" s="18"/>
      <c r="H10" s="19"/>
    </row>
    <row r="11" spans="1:8" ht="15">
      <c r="A11" s="163"/>
      <c r="B11" s="181"/>
      <c r="C11" s="79" t="s">
        <v>415</v>
      </c>
      <c r="D11" s="132"/>
      <c r="E11" s="132"/>
      <c r="F11" s="18">
        <f>[2]котловые!F11</f>
        <v>1135587.68</v>
      </c>
      <c r="G11" s="18">
        <f>[2]котловые!G11</f>
        <v>107.55</v>
      </c>
      <c r="H11" s="19">
        <f>[2]котловые!H11</f>
        <v>1642.17</v>
      </c>
    </row>
    <row r="12" spans="1:8" ht="15">
      <c r="A12" s="163"/>
      <c r="B12" s="181"/>
      <c r="C12" s="79" t="s">
        <v>416</v>
      </c>
      <c r="D12" s="132"/>
      <c r="E12" s="132"/>
      <c r="F12" s="18">
        <f>[2]котловые!F12</f>
        <v>798573.28</v>
      </c>
      <c r="G12" s="18">
        <f>[2]котловые!G12</f>
        <v>206.17</v>
      </c>
      <c r="H12" s="19">
        <f>[2]котловые!H12</f>
        <v>1769.93</v>
      </c>
    </row>
    <row r="13" spans="1:8" ht="15">
      <c r="A13" s="163"/>
      <c r="B13" s="181"/>
      <c r="C13" s="79" t="s">
        <v>419</v>
      </c>
      <c r="D13" s="132"/>
      <c r="E13" s="132"/>
      <c r="F13" s="18">
        <f>[2]котловые!F13</f>
        <v>863298.49</v>
      </c>
      <c r="G13" s="18">
        <f>[2]котловые!G13</f>
        <v>459.32</v>
      </c>
      <c r="H13" s="19">
        <f>[2]котловые!H13</f>
        <v>1802.56</v>
      </c>
    </row>
    <row r="14" spans="1:8" ht="14.25" customHeight="1">
      <c r="A14" s="121" t="s">
        <v>421</v>
      </c>
      <c r="B14" s="122"/>
      <c r="C14" s="122"/>
      <c r="D14" s="122"/>
      <c r="E14" s="122"/>
      <c r="F14" s="122"/>
      <c r="G14" s="122"/>
      <c r="H14" s="123"/>
    </row>
    <row r="15" spans="1:8" ht="15">
      <c r="A15" s="163">
        <v>2</v>
      </c>
      <c r="B15" s="181" t="s">
        <v>504</v>
      </c>
      <c r="C15" s="79" t="s">
        <v>411</v>
      </c>
      <c r="D15" s="142">
        <f>D9</f>
        <v>41660</v>
      </c>
      <c r="E15" s="132" t="str">
        <f>E9</f>
        <v>Newspaper "Belgorod News" #11 (3602)</v>
      </c>
      <c r="F15" s="119" t="s">
        <v>1</v>
      </c>
      <c r="G15" s="119" t="s">
        <v>1</v>
      </c>
      <c r="H15" s="133">
        <f>[2]котловые!$H$14</f>
        <v>796.79</v>
      </c>
    </row>
    <row r="16" spans="1:8" ht="15">
      <c r="A16" s="163"/>
      <c r="B16" s="132"/>
      <c r="C16" s="79" t="s">
        <v>415</v>
      </c>
      <c r="D16" s="132"/>
      <c r="E16" s="132"/>
      <c r="F16" s="119"/>
      <c r="G16" s="119"/>
      <c r="H16" s="133"/>
    </row>
    <row r="17" spans="1:8" ht="15">
      <c r="A17" s="163"/>
      <c r="B17" s="132"/>
      <c r="C17" s="79" t="s">
        <v>416</v>
      </c>
      <c r="D17" s="132"/>
      <c r="E17" s="132"/>
      <c r="F17" s="119"/>
      <c r="G17" s="119"/>
      <c r="H17" s="133"/>
    </row>
    <row r="18" spans="1:8" ht="15">
      <c r="A18" s="163"/>
      <c r="B18" s="132"/>
      <c r="C18" s="79" t="s">
        <v>419</v>
      </c>
      <c r="D18" s="132"/>
      <c r="E18" s="132"/>
      <c r="F18" s="119"/>
      <c r="G18" s="119"/>
      <c r="H18" s="133"/>
    </row>
    <row r="19" spans="1:8" ht="15" customHeight="1">
      <c r="A19" s="138" t="s">
        <v>426</v>
      </c>
      <c r="B19" s="139"/>
      <c r="C19" s="139"/>
      <c r="D19" s="139"/>
      <c r="E19" s="139"/>
      <c r="F19" s="139"/>
      <c r="G19" s="139"/>
      <c r="H19" s="140"/>
    </row>
    <row r="20" spans="1:8" ht="15" customHeight="1">
      <c r="A20" s="121" t="str">
        <f>A8</f>
        <v>1. Other customers</v>
      </c>
      <c r="B20" s="122"/>
      <c r="C20" s="122"/>
      <c r="D20" s="122"/>
      <c r="E20" s="122"/>
      <c r="F20" s="122"/>
      <c r="G20" s="122"/>
      <c r="H20" s="123"/>
    </row>
    <row r="21" spans="1:8" ht="15">
      <c r="A21" s="192">
        <v>1</v>
      </c>
      <c r="B21" s="181" t="s">
        <v>504</v>
      </c>
      <c r="C21" s="79" t="s">
        <v>411</v>
      </c>
      <c r="D21" s="142">
        <f>D15</f>
        <v>41660</v>
      </c>
      <c r="E21" s="132" t="str">
        <f>E15</f>
        <v>Newspaper "Belgorod News" #11 (3602)</v>
      </c>
      <c r="F21" s="20">
        <v>946754.56000000006</v>
      </c>
      <c r="G21" s="20">
        <v>29.72</v>
      </c>
      <c r="H21" s="21">
        <v>1322.29</v>
      </c>
    </row>
    <row r="22" spans="1:8" ht="15">
      <c r="A22" s="208"/>
      <c r="B22" s="181"/>
      <c r="C22" s="79" t="s">
        <v>412</v>
      </c>
      <c r="D22" s="132"/>
      <c r="E22" s="132"/>
      <c r="F22" s="17"/>
      <c r="G22" s="17"/>
      <c r="H22" s="22" t="s">
        <v>2</v>
      </c>
    </row>
    <row r="23" spans="1:8" ht="15">
      <c r="A23" s="208"/>
      <c r="B23" s="181"/>
      <c r="C23" s="79" t="s">
        <v>415</v>
      </c>
      <c r="D23" s="132"/>
      <c r="E23" s="132"/>
      <c r="F23" s="20">
        <v>1135587.68</v>
      </c>
      <c r="G23" s="20">
        <v>107.55</v>
      </c>
      <c r="H23" s="21">
        <v>1642.17</v>
      </c>
    </row>
    <row r="24" spans="1:8" ht="15">
      <c r="A24" s="208"/>
      <c r="B24" s="181"/>
      <c r="C24" s="79" t="s">
        <v>416</v>
      </c>
      <c r="D24" s="132"/>
      <c r="E24" s="132"/>
      <c r="F24" s="20">
        <v>798573.28</v>
      </c>
      <c r="G24" s="20">
        <v>206.17</v>
      </c>
      <c r="H24" s="21">
        <v>1769.93</v>
      </c>
    </row>
    <row r="25" spans="1:8" ht="15">
      <c r="A25" s="209"/>
      <c r="B25" s="181"/>
      <c r="C25" s="79" t="s">
        <v>419</v>
      </c>
      <c r="D25" s="132"/>
      <c r="E25" s="132"/>
      <c r="F25" s="20">
        <v>863298.49</v>
      </c>
      <c r="G25" s="20">
        <v>459.32</v>
      </c>
      <c r="H25" s="21">
        <v>1802.56</v>
      </c>
    </row>
    <row r="26" spans="1:8" ht="15" customHeight="1">
      <c r="A26" s="121" t="str">
        <f>A14</f>
        <v>2. Residential customers and equal</v>
      </c>
      <c r="B26" s="122"/>
      <c r="C26" s="122"/>
      <c r="D26" s="122"/>
      <c r="E26" s="122"/>
      <c r="F26" s="122"/>
      <c r="G26" s="122"/>
      <c r="H26" s="123"/>
    </row>
    <row r="27" spans="1:8" ht="15">
      <c r="A27" s="163">
        <v>2</v>
      </c>
      <c r="B27" s="181" t="str">
        <f>B21</f>
        <v>№15/19 of 19.12.2013</v>
      </c>
      <c r="C27" s="79" t="s">
        <v>411</v>
      </c>
      <c r="D27" s="142">
        <f>D21</f>
        <v>41660</v>
      </c>
      <c r="E27" s="132" t="str">
        <f>E21</f>
        <v>Newspaper "Belgorod News" #11 (3602)</v>
      </c>
      <c r="F27" s="134" t="s">
        <v>1</v>
      </c>
      <c r="G27" s="134" t="s">
        <v>1</v>
      </c>
      <c r="H27" s="136">
        <f>[2]котловые!$H$24</f>
        <v>885.8</v>
      </c>
    </row>
    <row r="28" spans="1:8" ht="15">
      <c r="A28" s="163"/>
      <c r="B28" s="132"/>
      <c r="C28" s="79" t="s">
        <v>415</v>
      </c>
      <c r="D28" s="132"/>
      <c r="E28" s="132"/>
      <c r="F28" s="135"/>
      <c r="G28" s="135"/>
      <c r="H28" s="137"/>
    </row>
    <row r="29" spans="1:8" ht="15">
      <c r="A29" s="163"/>
      <c r="B29" s="132"/>
      <c r="C29" s="79" t="s">
        <v>416</v>
      </c>
      <c r="D29" s="132"/>
      <c r="E29" s="132"/>
      <c r="F29" s="135"/>
      <c r="G29" s="135"/>
      <c r="H29" s="137"/>
    </row>
    <row r="30" spans="1:8" ht="15.75" thickBot="1">
      <c r="A30" s="192"/>
      <c r="B30" s="180"/>
      <c r="C30" s="80" t="s">
        <v>419</v>
      </c>
      <c r="D30" s="180"/>
      <c r="E30" s="180"/>
      <c r="F30" s="135"/>
      <c r="G30" s="135"/>
      <c r="H30" s="137"/>
    </row>
    <row r="31" spans="1:8" ht="28.5" customHeight="1" thickBot="1">
      <c r="A31" s="143" t="s">
        <v>58</v>
      </c>
      <c r="B31" s="144"/>
      <c r="C31" s="144"/>
      <c r="D31" s="144"/>
      <c r="E31" s="144"/>
      <c r="F31" s="144"/>
      <c r="G31" s="144"/>
      <c r="H31" s="145"/>
    </row>
    <row r="32" spans="1:8" ht="12.75" customHeight="1">
      <c r="A32" s="176" t="s">
        <v>407</v>
      </c>
      <c r="B32" s="177"/>
      <c r="C32" s="177"/>
      <c r="D32" s="177"/>
      <c r="E32" s="177"/>
      <c r="F32" s="177"/>
      <c r="G32" s="177"/>
      <c r="H32" s="178"/>
    </row>
    <row r="33" spans="1:8" ht="12.75" customHeight="1">
      <c r="A33" s="121" t="str">
        <f>A50</f>
        <v>1. Other customers</v>
      </c>
      <c r="B33" s="122"/>
      <c r="C33" s="122"/>
      <c r="D33" s="122"/>
      <c r="E33" s="122"/>
      <c r="F33" s="122"/>
      <c r="G33" s="122"/>
      <c r="H33" s="123"/>
    </row>
    <row r="34" spans="1:8" ht="15">
      <c r="A34" s="163">
        <v>1</v>
      </c>
      <c r="B34" s="147" t="s">
        <v>505</v>
      </c>
      <c r="C34" s="79" t="s">
        <v>411</v>
      </c>
      <c r="D34" s="146">
        <v>41635</v>
      </c>
      <c r="E34" s="119" t="s">
        <v>427</v>
      </c>
      <c r="F34" s="20">
        <v>992114.42</v>
      </c>
      <c r="G34" s="20">
        <v>25.07</v>
      </c>
      <c r="H34" s="21">
        <v>1545.98</v>
      </c>
    </row>
    <row r="35" spans="1:8" ht="15">
      <c r="A35" s="163"/>
      <c r="B35" s="119"/>
      <c r="C35" s="79" t="s">
        <v>415</v>
      </c>
      <c r="D35" s="119"/>
      <c r="E35" s="119"/>
      <c r="F35" s="20">
        <v>1172044.32</v>
      </c>
      <c r="G35" s="20">
        <v>48.73</v>
      </c>
      <c r="H35" s="21">
        <v>1896.9</v>
      </c>
    </row>
    <row r="36" spans="1:8" ht="15">
      <c r="A36" s="163"/>
      <c r="B36" s="119"/>
      <c r="C36" s="79" t="s">
        <v>416</v>
      </c>
      <c r="D36" s="119"/>
      <c r="E36" s="119"/>
      <c r="F36" s="20">
        <v>1212890.83</v>
      </c>
      <c r="G36" s="20">
        <v>159.72</v>
      </c>
      <c r="H36" s="21">
        <v>2448.13</v>
      </c>
    </row>
    <row r="37" spans="1:8" ht="15">
      <c r="A37" s="163"/>
      <c r="B37" s="119"/>
      <c r="C37" s="25" t="s">
        <v>419</v>
      </c>
      <c r="D37" s="119"/>
      <c r="E37" s="119"/>
      <c r="F37" s="20">
        <v>1458896.88</v>
      </c>
      <c r="G37" s="20">
        <v>669.36</v>
      </c>
      <c r="H37" s="21">
        <v>3810.61</v>
      </c>
    </row>
    <row r="38" spans="1:8" ht="18" customHeight="1">
      <c r="A38" s="121" t="s">
        <v>421</v>
      </c>
      <c r="B38" s="122"/>
      <c r="C38" s="122"/>
      <c r="D38" s="122"/>
      <c r="E38" s="122"/>
      <c r="F38" s="122"/>
      <c r="G38" s="122"/>
      <c r="H38" s="123"/>
    </row>
    <row r="39" spans="1:8" ht="18" customHeight="1">
      <c r="A39" s="121" t="s">
        <v>428</v>
      </c>
      <c r="B39" s="122"/>
      <c r="C39" s="122"/>
      <c r="D39" s="122"/>
      <c r="E39" s="122"/>
      <c r="F39" s="122"/>
      <c r="G39" s="122"/>
      <c r="H39" s="123"/>
    </row>
    <row r="40" spans="1:8" ht="15" customHeight="1">
      <c r="A40" s="163">
        <v>2</v>
      </c>
      <c r="B40" s="147" t="s">
        <v>505</v>
      </c>
      <c r="C40" s="79" t="s">
        <v>411</v>
      </c>
      <c r="D40" s="146">
        <f>D34</f>
        <v>41635</v>
      </c>
      <c r="E40" s="119" t="s">
        <v>427</v>
      </c>
      <c r="F40" s="119" t="s">
        <v>1</v>
      </c>
      <c r="G40" s="119" t="s">
        <v>1</v>
      </c>
      <c r="H40" s="120">
        <v>1071.01</v>
      </c>
    </row>
    <row r="41" spans="1:8" ht="15.75" customHeight="1">
      <c r="A41" s="163"/>
      <c r="B41" s="147"/>
      <c r="C41" s="79" t="s">
        <v>415</v>
      </c>
      <c r="D41" s="119"/>
      <c r="E41" s="119"/>
      <c r="F41" s="119"/>
      <c r="G41" s="119"/>
      <c r="H41" s="120"/>
    </row>
    <row r="42" spans="1:8" ht="15">
      <c r="A42" s="163"/>
      <c r="B42" s="147"/>
      <c r="C42" s="79" t="s">
        <v>416</v>
      </c>
      <c r="D42" s="119"/>
      <c r="E42" s="119"/>
      <c r="F42" s="119"/>
      <c r="G42" s="119"/>
      <c r="H42" s="120"/>
    </row>
    <row r="43" spans="1:8" ht="15">
      <c r="A43" s="163"/>
      <c r="B43" s="147"/>
      <c r="C43" s="25" t="s">
        <v>419</v>
      </c>
      <c r="D43" s="119"/>
      <c r="E43" s="119"/>
      <c r="F43" s="119"/>
      <c r="G43" s="119"/>
      <c r="H43" s="120"/>
    </row>
    <row r="44" spans="1:8" ht="34.5" customHeight="1">
      <c r="A44" s="121" t="s">
        <v>429</v>
      </c>
      <c r="B44" s="122"/>
      <c r="C44" s="122"/>
      <c r="D44" s="122"/>
      <c r="E44" s="122"/>
      <c r="F44" s="122"/>
      <c r="G44" s="122"/>
      <c r="H44" s="123"/>
    </row>
    <row r="45" spans="1:8" ht="15" customHeight="1">
      <c r="A45" s="163">
        <v>3</v>
      </c>
      <c r="B45" s="147" t="s">
        <v>505</v>
      </c>
      <c r="C45" s="79" t="s">
        <v>411</v>
      </c>
      <c r="D45" s="146">
        <f>D34</f>
        <v>41635</v>
      </c>
      <c r="E45" s="119" t="s">
        <v>427</v>
      </c>
      <c r="F45" s="119" t="s">
        <v>1</v>
      </c>
      <c r="G45" s="119" t="s">
        <v>1</v>
      </c>
      <c r="H45" s="201">
        <v>333.72</v>
      </c>
    </row>
    <row r="46" spans="1:8" ht="15.75" customHeight="1">
      <c r="A46" s="163"/>
      <c r="B46" s="147"/>
      <c r="C46" s="79" t="s">
        <v>415</v>
      </c>
      <c r="D46" s="146"/>
      <c r="E46" s="119"/>
      <c r="F46" s="119"/>
      <c r="G46" s="119"/>
      <c r="H46" s="201"/>
    </row>
    <row r="47" spans="1:8" ht="15">
      <c r="A47" s="163"/>
      <c r="B47" s="147"/>
      <c r="C47" s="79" t="s">
        <v>416</v>
      </c>
      <c r="D47" s="146"/>
      <c r="E47" s="119"/>
      <c r="F47" s="119"/>
      <c r="G47" s="119"/>
      <c r="H47" s="201"/>
    </row>
    <row r="48" spans="1:8" ht="15">
      <c r="A48" s="163"/>
      <c r="B48" s="147"/>
      <c r="C48" s="25" t="s">
        <v>419</v>
      </c>
      <c r="D48" s="146"/>
      <c r="E48" s="119"/>
      <c r="F48" s="119"/>
      <c r="G48" s="119"/>
      <c r="H48" s="201"/>
    </row>
    <row r="49" spans="1:8" ht="14.25">
      <c r="A49" s="138" t="s">
        <v>426</v>
      </c>
      <c r="B49" s="139"/>
      <c r="C49" s="139"/>
      <c r="D49" s="139"/>
      <c r="E49" s="139"/>
      <c r="F49" s="139"/>
      <c r="G49" s="139"/>
      <c r="H49" s="140"/>
    </row>
    <row r="50" spans="1:8" ht="12.75" customHeight="1">
      <c r="A50" s="121" t="s">
        <v>408</v>
      </c>
      <c r="B50" s="122"/>
      <c r="C50" s="122"/>
      <c r="D50" s="122"/>
      <c r="E50" s="122"/>
      <c r="F50" s="122"/>
      <c r="G50" s="122"/>
      <c r="H50" s="123"/>
    </row>
    <row r="51" spans="1:8" ht="15" customHeight="1">
      <c r="A51" s="163">
        <v>1</v>
      </c>
      <c r="B51" s="147" t="s">
        <v>505</v>
      </c>
      <c r="C51" s="79" t="s">
        <v>411</v>
      </c>
      <c r="D51" s="146">
        <f>D34</f>
        <v>41635</v>
      </c>
      <c r="E51" s="119" t="s">
        <v>427</v>
      </c>
      <c r="F51" s="20">
        <v>992114.42</v>
      </c>
      <c r="G51" s="20">
        <v>25.07</v>
      </c>
      <c r="H51" s="21">
        <v>1545.98</v>
      </c>
    </row>
    <row r="52" spans="1:8" ht="15">
      <c r="A52" s="163"/>
      <c r="B52" s="147"/>
      <c r="C52" s="79" t="s">
        <v>415</v>
      </c>
      <c r="D52" s="119"/>
      <c r="E52" s="119"/>
      <c r="F52" s="20">
        <v>1172044.32</v>
      </c>
      <c r="G52" s="20">
        <v>48.73</v>
      </c>
      <c r="H52" s="21">
        <v>1896.9</v>
      </c>
    </row>
    <row r="53" spans="1:8" ht="15">
      <c r="A53" s="163"/>
      <c r="B53" s="147"/>
      <c r="C53" s="79" t="s">
        <v>416</v>
      </c>
      <c r="D53" s="119"/>
      <c r="E53" s="119"/>
      <c r="F53" s="20">
        <v>1212890.83</v>
      </c>
      <c r="G53" s="20">
        <v>159.72</v>
      </c>
      <c r="H53" s="21">
        <v>2448.13</v>
      </c>
    </row>
    <row r="54" spans="1:8" ht="15">
      <c r="A54" s="163"/>
      <c r="B54" s="147"/>
      <c r="C54" s="25" t="s">
        <v>419</v>
      </c>
      <c r="D54" s="119"/>
      <c r="E54" s="119"/>
      <c r="F54" s="20">
        <v>1458896.88</v>
      </c>
      <c r="G54" s="20">
        <v>669.36</v>
      </c>
      <c r="H54" s="21">
        <v>3810.61</v>
      </c>
    </row>
    <row r="55" spans="1:8" ht="18" customHeight="1">
      <c r="A55" s="121" t="s">
        <v>422</v>
      </c>
      <c r="B55" s="122"/>
      <c r="C55" s="122"/>
      <c r="D55" s="122"/>
      <c r="E55" s="122"/>
      <c r="F55" s="122"/>
      <c r="G55" s="122"/>
      <c r="H55" s="123"/>
    </row>
    <row r="56" spans="1:8" ht="18" customHeight="1">
      <c r="A56" s="121" t="s">
        <v>428</v>
      </c>
      <c r="B56" s="122"/>
      <c r="C56" s="122"/>
      <c r="D56" s="122"/>
      <c r="E56" s="122"/>
      <c r="F56" s="122"/>
      <c r="G56" s="122"/>
      <c r="H56" s="123"/>
    </row>
    <row r="57" spans="1:8" ht="15" customHeight="1">
      <c r="A57" s="163">
        <v>2</v>
      </c>
      <c r="B57" s="147" t="s">
        <v>505</v>
      </c>
      <c r="C57" s="79" t="s">
        <v>411</v>
      </c>
      <c r="D57" s="146">
        <f>D51</f>
        <v>41635</v>
      </c>
      <c r="E57" s="119" t="s">
        <v>427</v>
      </c>
      <c r="F57" s="119" t="s">
        <v>1</v>
      </c>
      <c r="G57" s="119" t="s">
        <v>1</v>
      </c>
      <c r="H57" s="120">
        <v>1233.24</v>
      </c>
    </row>
    <row r="58" spans="1:8" ht="15">
      <c r="A58" s="163"/>
      <c r="B58" s="147"/>
      <c r="C58" s="79" t="s">
        <v>415</v>
      </c>
      <c r="D58" s="119"/>
      <c r="E58" s="119"/>
      <c r="F58" s="119"/>
      <c r="G58" s="119"/>
      <c r="H58" s="120"/>
    </row>
    <row r="59" spans="1:8" ht="15">
      <c r="A59" s="163"/>
      <c r="B59" s="147"/>
      <c r="C59" s="79" t="s">
        <v>416</v>
      </c>
      <c r="D59" s="119"/>
      <c r="E59" s="119"/>
      <c r="F59" s="119"/>
      <c r="G59" s="119"/>
      <c r="H59" s="120"/>
    </row>
    <row r="60" spans="1:8" ht="15">
      <c r="A60" s="163"/>
      <c r="B60" s="147"/>
      <c r="C60" s="25" t="s">
        <v>419</v>
      </c>
      <c r="D60" s="119"/>
      <c r="E60" s="119"/>
      <c r="F60" s="119"/>
      <c r="G60" s="119"/>
      <c r="H60" s="120"/>
    </row>
    <row r="61" spans="1:8" ht="31.5" customHeight="1">
      <c r="A61" s="121" t="s">
        <v>430</v>
      </c>
      <c r="B61" s="122"/>
      <c r="C61" s="122"/>
      <c r="D61" s="122"/>
      <c r="E61" s="122"/>
      <c r="F61" s="122"/>
      <c r="G61" s="122"/>
      <c r="H61" s="123"/>
    </row>
    <row r="62" spans="1:8" ht="15" customHeight="1">
      <c r="A62" s="163">
        <v>3</v>
      </c>
      <c r="B62" s="147" t="s">
        <v>505</v>
      </c>
      <c r="C62" s="79" t="s">
        <v>411</v>
      </c>
      <c r="D62" s="146">
        <f>D57</f>
        <v>41635</v>
      </c>
      <c r="E62" s="119" t="s">
        <v>427</v>
      </c>
      <c r="F62" s="119" t="s">
        <v>1</v>
      </c>
      <c r="G62" s="119" t="s">
        <v>1</v>
      </c>
      <c r="H62" s="201">
        <v>462.05</v>
      </c>
    </row>
    <row r="63" spans="1:8" ht="15">
      <c r="A63" s="163"/>
      <c r="B63" s="147"/>
      <c r="C63" s="79" t="s">
        <v>415</v>
      </c>
      <c r="D63" s="119"/>
      <c r="E63" s="119"/>
      <c r="F63" s="119"/>
      <c r="G63" s="119"/>
      <c r="H63" s="201"/>
    </row>
    <row r="64" spans="1:8" ht="15">
      <c r="A64" s="163"/>
      <c r="B64" s="147"/>
      <c r="C64" s="79" t="s">
        <v>416</v>
      </c>
      <c r="D64" s="119"/>
      <c r="E64" s="119"/>
      <c r="F64" s="119"/>
      <c r="G64" s="119"/>
      <c r="H64" s="201"/>
    </row>
    <row r="65" spans="1:8" ht="15.75" thickBot="1">
      <c r="A65" s="192"/>
      <c r="B65" s="189"/>
      <c r="C65" s="28" t="s">
        <v>419</v>
      </c>
      <c r="D65" s="134"/>
      <c r="E65" s="134"/>
      <c r="F65" s="134"/>
      <c r="G65" s="134"/>
      <c r="H65" s="218"/>
    </row>
    <row r="66" spans="1:8" ht="30" customHeight="1" thickBot="1">
      <c r="A66" s="143" t="s">
        <v>102</v>
      </c>
      <c r="B66" s="144"/>
      <c r="C66" s="144"/>
      <c r="D66" s="144"/>
      <c r="E66" s="144"/>
      <c r="F66" s="144"/>
      <c r="G66" s="144"/>
      <c r="H66" s="145"/>
    </row>
    <row r="67" spans="1:8" ht="12.75" customHeight="1">
      <c r="A67" s="176" t="str">
        <f>A90</f>
        <v>1H 2014</v>
      </c>
      <c r="B67" s="177"/>
      <c r="C67" s="177"/>
      <c r="D67" s="177"/>
      <c r="E67" s="177"/>
      <c r="F67" s="177"/>
      <c r="G67" s="177"/>
      <c r="H67" s="178"/>
    </row>
    <row r="68" spans="1:8" ht="12.75" customHeight="1">
      <c r="A68" s="121" t="s">
        <v>408</v>
      </c>
      <c r="B68" s="122"/>
      <c r="C68" s="122"/>
      <c r="D68" s="122"/>
      <c r="E68" s="122"/>
      <c r="F68" s="122"/>
      <c r="G68" s="122"/>
      <c r="H68" s="123"/>
    </row>
    <row r="69" spans="1:8" ht="15" customHeight="1">
      <c r="A69" s="163">
        <v>1</v>
      </c>
      <c r="B69" s="147" t="s">
        <v>506</v>
      </c>
      <c r="C69" s="79" t="s">
        <v>411</v>
      </c>
      <c r="D69" s="146">
        <f>D80</f>
        <v>41636</v>
      </c>
      <c r="E69" s="119" t="str">
        <f>E80</f>
        <v>Voronezh courier №147</v>
      </c>
      <c r="F69" s="20">
        <v>284651.36</v>
      </c>
      <c r="G69" s="20">
        <v>620.97</v>
      </c>
      <c r="H69" s="21">
        <v>1154.27</v>
      </c>
    </row>
    <row r="70" spans="1:8" ht="15">
      <c r="A70" s="163"/>
      <c r="B70" s="147"/>
      <c r="C70" s="79" t="s">
        <v>415</v>
      </c>
      <c r="D70" s="119"/>
      <c r="E70" s="119"/>
      <c r="F70" s="20">
        <v>601691.06000000006</v>
      </c>
      <c r="G70" s="20">
        <v>673.03</v>
      </c>
      <c r="H70" s="21">
        <v>1747.59</v>
      </c>
    </row>
    <row r="71" spans="1:8" ht="15">
      <c r="A71" s="163"/>
      <c r="B71" s="147"/>
      <c r="C71" s="79" t="s">
        <v>416</v>
      </c>
      <c r="D71" s="119"/>
      <c r="E71" s="119"/>
      <c r="F71" s="20">
        <v>726476.83</v>
      </c>
      <c r="G71" s="20">
        <v>910.12</v>
      </c>
      <c r="H71" s="21">
        <v>2220.6799999999998</v>
      </c>
    </row>
    <row r="72" spans="1:8" ht="15">
      <c r="A72" s="163"/>
      <c r="B72" s="147"/>
      <c r="C72" s="25" t="s">
        <v>419</v>
      </c>
      <c r="D72" s="119"/>
      <c r="E72" s="119"/>
      <c r="F72" s="20">
        <v>1016416.84</v>
      </c>
      <c r="G72" s="20">
        <v>1348.58</v>
      </c>
      <c r="H72" s="21">
        <v>3226.5</v>
      </c>
    </row>
    <row r="73" spans="1:8" ht="18" customHeight="1">
      <c r="A73" s="121" t="s">
        <v>421</v>
      </c>
      <c r="B73" s="122"/>
      <c r="C73" s="122"/>
      <c r="D73" s="122"/>
      <c r="E73" s="122"/>
      <c r="F73" s="122"/>
      <c r="G73" s="122"/>
      <c r="H73" s="123"/>
    </row>
    <row r="74" spans="1:8" ht="15" customHeight="1">
      <c r="A74" s="163">
        <v>2</v>
      </c>
      <c r="B74" s="147" t="s">
        <v>506</v>
      </c>
      <c r="C74" s="79" t="s">
        <v>411</v>
      </c>
      <c r="D74" s="146">
        <f>D80</f>
        <v>41636</v>
      </c>
      <c r="E74" s="119" t="str">
        <f>E80</f>
        <v>Voronezh courier №147</v>
      </c>
      <c r="F74" s="119" t="s">
        <v>1</v>
      </c>
      <c r="G74" s="119" t="s">
        <v>1</v>
      </c>
      <c r="H74" s="201">
        <v>669.08</v>
      </c>
    </row>
    <row r="75" spans="1:8" ht="15">
      <c r="A75" s="163"/>
      <c r="B75" s="147"/>
      <c r="C75" s="79" t="s">
        <v>415</v>
      </c>
      <c r="D75" s="119"/>
      <c r="E75" s="119"/>
      <c r="F75" s="119"/>
      <c r="G75" s="119"/>
      <c r="H75" s="201"/>
    </row>
    <row r="76" spans="1:8" ht="15">
      <c r="A76" s="163"/>
      <c r="B76" s="147"/>
      <c r="C76" s="79" t="s">
        <v>416</v>
      </c>
      <c r="D76" s="119"/>
      <c r="E76" s="119"/>
      <c r="F76" s="119"/>
      <c r="G76" s="119"/>
      <c r="H76" s="201"/>
    </row>
    <row r="77" spans="1:8" ht="13.5" customHeight="1">
      <c r="A77" s="163"/>
      <c r="B77" s="147"/>
      <c r="C77" s="25" t="s">
        <v>419</v>
      </c>
      <c r="D77" s="119"/>
      <c r="E77" s="119"/>
      <c r="F77" s="119"/>
      <c r="G77" s="119"/>
      <c r="H77" s="201"/>
    </row>
    <row r="78" spans="1:8" ht="13.5" customHeight="1">
      <c r="A78" s="138" t="str">
        <f>A107</f>
        <v>2H 2014</v>
      </c>
      <c r="B78" s="139"/>
      <c r="C78" s="139"/>
      <c r="D78" s="139"/>
      <c r="E78" s="139"/>
      <c r="F78" s="139"/>
      <c r="G78" s="139"/>
      <c r="H78" s="140"/>
    </row>
    <row r="79" spans="1:8" ht="12.75" customHeight="1">
      <c r="A79" s="121" t="s">
        <v>408</v>
      </c>
      <c r="B79" s="122"/>
      <c r="C79" s="122"/>
      <c r="D79" s="122"/>
      <c r="E79" s="122"/>
      <c r="F79" s="122"/>
      <c r="G79" s="122"/>
      <c r="H79" s="123"/>
    </row>
    <row r="80" spans="1:8" ht="15" customHeight="1">
      <c r="A80" s="163">
        <v>1</v>
      </c>
      <c r="B80" s="147" t="s">
        <v>506</v>
      </c>
      <c r="C80" s="79" t="s">
        <v>411</v>
      </c>
      <c r="D80" s="146">
        <v>41636</v>
      </c>
      <c r="E80" s="119" t="s">
        <v>105</v>
      </c>
      <c r="F80" s="20">
        <v>284651.36</v>
      </c>
      <c r="G80" s="20">
        <v>620.97</v>
      </c>
      <c r="H80" s="21">
        <v>1154.27</v>
      </c>
    </row>
    <row r="81" spans="1:256" ht="15">
      <c r="A81" s="163"/>
      <c r="B81" s="147"/>
      <c r="C81" s="79" t="s">
        <v>415</v>
      </c>
      <c r="D81" s="119"/>
      <c r="E81" s="119"/>
      <c r="F81" s="20">
        <v>601691.06000000006</v>
      </c>
      <c r="G81" s="20">
        <v>673.03</v>
      </c>
      <c r="H81" s="21">
        <v>1747.59</v>
      </c>
    </row>
    <row r="82" spans="1:256" ht="15">
      <c r="A82" s="163"/>
      <c r="B82" s="147"/>
      <c r="C82" s="79" t="s">
        <v>416</v>
      </c>
      <c r="D82" s="119"/>
      <c r="E82" s="119"/>
      <c r="F82" s="20">
        <v>726476.83</v>
      </c>
      <c r="G82" s="20">
        <v>910.12</v>
      </c>
      <c r="H82" s="21">
        <v>2220.6799999999998</v>
      </c>
    </row>
    <row r="83" spans="1:256" ht="21" customHeight="1">
      <c r="A83" s="163"/>
      <c r="B83" s="147"/>
      <c r="C83" s="25" t="s">
        <v>419</v>
      </c>
      <c r="D83" s="119"/>
      <c r="E83" s="119"/>
      <c r="F83" s="20">
        <v>938952.61</v>
      </c>
      <c r="G83" s="20">
        <v>1245.8</v>
      </c>
      <c r="H83" s="21">
        <v>3226.5</v>
      </c>
    </row>
    <row r="84" spans="1:256" s="8" customFormat="1" ht="15.75" customHeight="1">
      <c r="A84" s="121" t="s">
        <v>421</v>
      </c>
      <c r="B84" s="122"/>
      <c r="C84" s="122"/>
      <c r="D84" s="122"/>
      <c r="E84" s="122"/>
      <c r="F84" s="122"/>
      <c r="G84" s="122"/>
      <c r="H84" s="123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191"/>
      <c r="BI84" s="191"/>
      <c r="BJ84" s="191"/>
      <c r="BK84" s="191"/>
      <c r="BL84" s="191"/>
      <c r="BM84" s="191"/>
      <c r="BN84" s="191"/>
      <c r="BO84" s="191"/>
      <c r="BP84" s="191"/>
      <c r="BQ84" s="191"/>
      <c r="BR84" s="191"/>
      <c r="BS84" s="191"/>
      <c r="BT84" s="191"/>
      <c r="BU84" s="191"/>
      <c r="BV84" s="191"/>
      <c r="BW84" s="191"/>
      <c r="BX84" s="191"/>
      <c r="BY84" s="191"/>
      <c r="BZ84" s="191"/>
      <c r="CA84" s="191"/>
      <c r="CB84" s="191"/>
      <c r="CC84" s="191"/>
      <c r="CD84" s="191"/>
      <c r="CE84" s="191"/>
      <c r="CF84" s="191"/>
      <c r="CG84" s="191"/>
      <c r="CH84" s="191"/>
      <c r="CI84" s="191"/>
      <c r="CJ84" s="191"/>
      <c r="CK84" s="191"/>
      <c r="CL84" s="191"/>
      <c r="CM84" s="191"/>
      <c r="CN84" s="191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1"/>
      <c r="DG84" s="191"/>
      <c r="DH84" s="191"/>
      <c r="DI84" s="191"/>
      <c r="DJ84" s="191"/>
      <c r="DK84" s="191"/>
      <c r="DL84" s="191"/>
      <c r="DM84" s="191"/>
      <c r="DN84" s="191"/>
      <c r="DO84" s="191"/>
      <c r="DP84" s="191"/>
      <c r="DQ84" s="191"/>
      <c r="DR84" s="191"/>
      <c r="DS84" s="191"/>
      <c r="DT84" s="191"/>
      <c r="DU84" s="191"/>
      <c r="DV84" s="191"/>
      <c r="DW84" s="191"/>
      <c r="DX84" s="191"/>
      <c r="DY84" s="191"/>
      <c r="DZ84" s="191"/>
      <c r="EA84" s="191"/>
      <c r="EB84" s="191"/>
      <c r="EC84" s="191"/>
      <c r="ED84" s="191"/>
      <c r="EE84" s="191"/>
      <c r="EF84" s="191"/>
      <c r="EG84" s="191"/>
      <c r="EH84" s="191"/>
      <c r="EI84" s="191"/>
      <c r="EJ84" s="191"/>
      <c r="EK84" s="191"/>
      <c r="EL84" s="191"/>
      <c r="EM84" s="191"/>
      <c r="EN84" s="191"/>
      <c r="EO84" s="191"/>
      <c r="EP84" s="191"/>
      <c r="EQ84" s="191"/>
      <c r="ER84" s="191"/>
      <c r="ES84" s="191"/>
      <c r="ET84" s="191"/>
      <c r="EU84" s="191"/>
      <c r="EV84" s="191"/>
      <c r="EW84" s="191"/>
      <c r="EX84" s="191"/>
      <c r="EY84" s="191"/>
      <c r="EZ84" s="191"/>
      <c r="FA84" s="191"/>
      <c r="FB84" s="191"/>
      <c r="FC84" s="191"/>
      <c r="FD84" s="191"/>
      <c r="FE84" s="191"/>
      <c r="FF84" s="191"/>
      <c r="FG84" s="191"/>
      <c r="FH84" s="191"/>
      <c r="FI84" s="191"/>
      <c r="FJ84" s="191"/>
      <c r="FK84" s="191"/>
      <c r="FL84" s="191"/>
      <c r="FM84" s="191"/>
      <c r="FN84" s="191"/>
      <c r="FO84" s="191"/>
      <c r="FP84" s="191"/>
      <c r="FQ84" s="191"/>
      <c r="FR84" s="191"/>
      <c r="FS84" s="191"/>
      <c r="FT84" s="191"/>
      <c r="FU84" s="191"/>
      <c r="FV84" s="191"/>
      <c r="FW84" s="191"/>
      <c r="FX84" s="191"/>
      <c r="FY84" s="191"/>
      <c r="FZ84" s="191"/>
      <c r="GA84" s="191"/>
      <c r="GB84" s="191"/>
      <c r="GC84" s="191"/>
      <c r="GD84" s="191"/>
      <c r="GE84" s="191"/>
      <c r="GF84" s="191"/>
      <c r="GG84" s="191"/>
      <c r="GH84" s="191"/>
      <c r="GI84" s="191"/>
      <c r="GJ84" s="191"/>
      <c r="GK84" s="191"/>
      <c r="GL84" s="191"/>
      <c r="GM84" s="191"/>
      <c r="GN84" s="191"/>
      <c r="GO84" s="191"/>
      <c r="GP84" s="191"/>
      <c r="GQ84" s="191"/>
      <c r="GR84" s="191"/>
      <c r="GS84" s="191"/>
      <c r="GT84" s="191"/>
      <c r="GU84" s="191"/>
      <c r="GV84" s="191"/>
      <c r="GW84" s="191"/>
      <c r="GX84" s="191"/>
      <c r="GY84" s="191"/>
      <c r="GZ84" s="191"/>
      <c r="HA84" s="191"/>
      <c r="HB84" s="191"/>
      <c r="HC84" s="191"/>
      <c r="HD84" s="191"/>
      <c r="HE84" s="191"/>
      <c r="HF84" s="191"/>
      <c r="HG84" s="191"/>
      <c r="HH84" s="191"/>
      <c r="HI84" s="191"/>
      <c r="HJ84" s="191"/>
      <c r="HK84" s="191"/>
      <c r="HL84" s="191"/>
      <c r="HM84" s="191"/>
      <c r="HN84" s="191"/>
      <c r="HO84" s="191"/>
      <c r="HP84" s="191"/>
      <c r="HQ84" s="191"/>
      <c r="HR84" s="191"/>
      <c r="HS84" s="191"/>
      <c r="HT84" s="191"/>
      <c r="HU84" s="191"/>
      <c r="HV84" s="191"/>
      <c r="HW84" s="191"/>
      <c r="HX84" s="191"/>
      <c r="HY84" s="191"/>
      <c r="HZ84" s="191"/>
      <c r="IA84" s="191"/>
      <c r="IB84" s="191"/>
      <c r="IC84" s="191"/>
      <c r="ID84" s="191"/>
      <c r="IE84" s="191"/>
      <c r="IF84" s="191"/>
      <c r="IG84" s="191"/>
      <c r="IH84" s="191"/>
      <c r="II84" s="191"/>
      <c r="IJ84" s="191"/>
      <c r="IK84" s="191"/>
      <c r="IL84" s="191"/>
      <c r="IM84" s="191"/>
      <c r="IN84" s="191"/>
      <c r="IO84" s="191"/>
      <c r="IP84" s="191"/>
      <c r="IQ84" s="191"/>
      <c r="IR84" s="191"/>
      <c r="IS84" s="191"/>
      <c r="IT84" s="191"/>
      <c r="IU84" s="191"/>
      <c r="IV84" s="191"/>
    </row>
    <row r="85" spans="1:256" ht="15" customHeight="1">
      <c r="A85" s="163">
        <v>2</v>
      </c>
      <c r="B85" s="147" t="s">
        <v>506</v>
      </c>
      <c r="C85" s="79" t="s">
        <v>411</v>
      </c>
      <c r="D85" s="146">
        <f>D80</f>
        <v>41636</v>
      </c>
      <c r="E85" s="119" t="s">
        <v>105</v>
      </c>
      <c r="F85" s="119" t="s">
        <v>1</v>
      </c>
      <c r="G85" s="119" t="s">
        <v>1</v>
      </c>
      <c r="H85" s="193">
        <v>737.3</v>
      </c>
    </row>
    <row r="86" spans="1:256" ht="15">
      <c r="A86" s="163"/>
      <c r="B86" s="147"/>
      <c r="C86" s="79" t="s">
        <v>415</v>
      </c>
      <c r="D86" s="119"/>
      <c r="E86" s="119"/>
      <c r="F86" s="119"/>
      <c r="G86" s="119"/>
      <c r="H86" s="193"/>
    </row>
    <row r="87" spans="1:256" ht="18" customHeight="1">
      <c r="A87" s="163"/>
      <c r="B87" s="147"/>
      <c r="C87" s="79" t="s">
        <v>416</v>
      </c>
      <c r="D87" s="119"/>
      <c r="E87" s="119"/>
      <c r="F87" s="119"/>
      <c r="G87" s="119"/>
      <c r="H87" s="193"/>
    </row>
    <row r="88" spans="1:256" ht="15.75" thickBot="1">
      <c r="A88" s="192"/>
      <c r="B88" s="189"/>
      <c r="C88" s="28" t="s">
        <v>419</v>
      </c>
      <c r="D88" s="134"/>
      <c r="E88" s="134"/>
      <c r="F88" s="134"/>
      <c r="G88" s="134"/>
      <c r="H88" s="194"/>
    </row>
    <row r="89" spans="1:256" ht="29.25" customHeight="1" thickBot="1">
      <c r="A89" s="143" t="s">
        <v>179</v>
      </c>
      <c r="B89" s="144"/>
      <c r="C89" s="144"/>
      <c r="D89" s="144"/>
      <c r="E89" s="144"/>
      <c r="F89" s="144"/>
      <c r="G89" s="144"/>
      <c r="H89" s="145"/>
    </row>
    <row r="90" spans="1:256" ht="15" customHeight="1">
      <c r="A90" s="176" t="s">
        <v>407</v>
      </c>
      <c r="B90" s="177"/>
      <c r="C90" s="177"/>
      <c r="D90" s="177"/>
      <c r="E90" s="177"/>
      <c r="F90" s="177"/>
      <c r="G90" s="177"/>
      <c r="H90" s="178"/>
    </row>
    <row r="91" spans="1:256" ht="13.5" customHeight="1">
      <c r="A91" s="121" t="s">
        <v>423</v>
      </c>
      <c r="B91" s="122"/>
      <c r="C91" s="122"/>
      <c r="D91" s="122"/>
      <c r="E91" s="122"/>
      <c r="F91" s="122"/>
      <c r="G91" s="122"/>
      <c r="H91" s="123"/>
    </row>
    <row r="92" spans="1:256" ht="15" customHeight="1">
      <c r="A92" s="163">
        <v>1</v>
      </c>
      <c r="B92" s="147" t="s">
        <v>507</v>
      </c>
      <c r="C92" s="79" t="s">
        <v>411</v>
      </c>
      <c r="D92" s="146">
        <v>41649</v>
      </c>
      <c r="E92" s="119" t="s">
        <v>182</v>
      </c>
      <c r="F92" s="119" t="s">
        <v>1</v>
      </c>
      <c r="G92" s="119" t="s">
        <v>1</v>
      </c>
      <c r="H92" s="120">
        <v>893.86</v>
      </c>
    </row>
    <row r="93" spans="1:256" ht="15">
      <c r="A93" s="163"/>
      <c r="B93" s="147"/>
      <c r="C93" s="79" t="s">
        <v>415</v>
      </c>
      <c r="D93" s="146"/>
      <c r="E93" s="119"/>
      <c r="F93" s="119"/>
      <c r="G93" s="119"/>
      <c r="H93" s="120"/>
    </row>
    <row r="94" spans="1:256" ht="15">
      <c r="A94" s="163"/>
      <c r="B94" s="147"/>
      <c r="C94" s="79" t="s">
        <v>416</v>
      </c>
      <c r="D94" s="146"/>
      <c r="E94" s="119"/>
      <c r="F94" s="119"/>
      <c r="G94" s="119"/>
      <c r="H94" s="120"/>
    </row>
    <row r="95" spans="1:256" ht="15">
      <c r="A95" s="163"/>
      <c r="B95" s="147"/>
      <c r="C95" s="25" t="s">
        <v>419</v>
      </c>
      <c r="D95" s="146"/>
      <c r="E95" s="119"/>
      <c r="F95" s="119"/>
      <c r="G95" s="119"/>
      <c r="H95" s="120"/>
    </row>
    <row r="96" spans="1:256" ht="15.75" customHeight="1">
      <c r="A96" s="121" t="s">
        <v>409</v>
      </c>
      <c r="B96" s="122"/>
      <c r="C96" s="122" t="s">
        <v>4</v>
      </c>
      <c r="D96" s="122"/>
      <c r="E96" s="122"/>
      <c r="F96" s="122"/>
      <c r="G96" s="122"/>
      <c r="H96" s="123"/>
    </row>
    <row r="97" spans="1:8" ht="30" customHeight="1">
      <c r="A97" s="121" t="s">
        <v>431</v>
      </c>
      <c r="B97" s="122"/>
      <c r="C97" s="122"/>
      <c r="D97" s="122"/>
      <c r="E97" s="122"/>
      <c r="F97" s="122"/>
      <c r="G97" s="122"/>
      <c r="H97" s="123"/>
    </row>
    <row r="98" spans="1:8" ht="15" customHeight="1">
      <c r="A98" s="163">
        <v>2</v>
      </c>
      <c r="B98" s="147" t="s">
        <v>507</v>
      </c>
      <c r="C98" s="79" t="s">
        <v>411</v>
      </c>
      <c r="D98" s="146">
        <v>41649</v>
      </c>
      <c r="E98" s="119" t="s">
        <v>182</v>
      </c>
      <c r="F98" s="24">
        <v>886161.51399999997</v>
      </c>
      <c r="G98" s="24">
        <v>107.595</v>
      </c>
      <c r="H98" s="26">
        <v>1457.3109999999999</v>
      </c>
    </row>
    <row r="99" spans="1:8" ht="15">
      <c r="A99" s="163"/>
      <c r="B99" s="147"/>
      <c r="C99" s="79" t="s">
        <v>415</v>
      </c>
      <c r="D99" s="146"/>
      <c r="E99" s="119"/>
      <c r="F99" s="24">
        <v>1351077.4350000001</v>
      </c>
      <c r="G99" s="24">
        <v>229.268</v>
      </c>
      <c r="H99" s="26">
        <v>2307.596</v>
      </c>
    </row>
    <row r="100" spans="1:8" ht="15">
      <c r="A100" s="163"/>
      <c r="B100" s="147"/>
      <c r="C100" s="79" t="s">
        <v>416</v>
      </c>
      <c r="D100" s="146"/>
      <c r="E100" s="119"/>
      <c r="F100" s="24">
        <v>1374138.351</v>
      </c>
      <c r="G100" s="24">
        <v>255.41200000000001</v>
      </c>
      <c r="H100" s="26">
        <v>2404.7469999999998</v>
      </c>
    </row>
    <row r="101" spans="1:8" ht="27" customHeight="1">
      <c r="A101" s="163"/>
      <c r="B101" s="147"/>
      <c r="C101" s="25" t="s">
        <v>419</v>
      </c>
      <c r="D101" s="146"/>
      <c r="E101" s="119"/>
      <c r="F101" s="24">
        <v>1397246.6340000001</v>
      </c>
      <c r="G101" s="24">
        <v>664.67499999999995</v>
      </c>
      <c r="H101" s="26">
        <v>2822.0729999999999</v>
      </c>
    </row>
    <row r="102" spans="1:8" ht="27.75" customHeight="1">
      <c r="A102" s="121" t="s">
        <v>432</v>
      </c>
      <c r="B102" s="122"/>
      <c r="C102" s="122"/>
      <c r="D102" s="122"/>
      <c r="E102" s="122"/>
      <c r="F102" s="122"/>
      <c r="G102" s="122"/>
      <c r="H102" s="123"/>
    </row>
    <row r="103" spans="1:8" ht="15" customHeight="1">
      <c r="A103" s="163">
        <v>3</v>
      </c>
      <c r="B103" s="147" t="s">
        <v>507</v>
      </c>
      <c r="C103" s="79" t="s">
        <v>411</v>
      </c>
      <c r="D103" s="146">
        <v>41649</v>
      </c>
      <c r="E103" s="119" t="s">
        <v>182</v>
      </c>
      <c r="F103" s="24">
        <v>886161.51399999997</v>
      </c>
      <c r="G103" s="17" t="s">
        <v>1</v>
      </c>
      <c r="H103" s="22" t="s">
        <v>1</v>
      </c>
    </row>
    <row r="104" spans="1:8" ht="15">
      <c r="A104" s="163"/>
      <c r="B104" s="147"/>
      <c r="C104" s="79" t="s">
        <v>415</v>
      </c>
      <c r="D104" s="146"/>
      <c r="E104" s="119"/>
      <c r="F104" s="24">
        <v>1351077.4350000001</v>
      </c>
      <c r="G104" s="17" t="s">
        <v>1</v>
      </c>
      <c r="H104" s="22" t="s">
        <v>1</v>
      </c>
    </row>
    <row r="105" spans="1:8" ht="15">
      <c r="A105" s="163"/>
      <c r="B105" s="147"/>
      <c r="C105" s="79" t="s">
        <v>416</v>
      </c>
      <c r="D105" s="146"/>
      <c r="E105" s="119"/>
      <c r="F105" s="24">
        <v>1374138.351</v>
      </c>
      <c r="G105" s="17" t="s">
        <v>1</v>
      </c>
      <c r="H105" s="22" t="s">
        <v>1</v>
      </c>
    </row>
    <row r="106" spans="1:8" ht="13.5" customHeight="1">
      <c r="A106" s="163"/>
      <c r="B106" s="147"/>
      <c r="C106" s="25" t="s">
        <v>419</v>
      </c>
      <c r="D106" s="146"/>
      <c r="E106" s="119"/>
      <c r="F106" s="24">
        <v>1397246.6340000001</v>
      </c>
      <c r="G106" s="17" t="s">
        <v>1</v>
      </c>
      <c r="H106" s="22" t="s">
        <v>1</v>
      </c>
    </row>
    <row r="107" spans="1:8" ht="14.25" customHeight="1">
      <c r="A107" s="138" t="s">
        <v>426</v>
      </c>
      <c r="B107" s="139"/>
      <c r="C107" s="139"/>
      <c r="D107" s="139"/>
      <c r="E107" s="139"/>
      <c r="F107" s="139"/>
      <c r="G107" s="139"/>
      <c r="H107" s="140"/>
    </row>
    <row r="108" spans="1:8" ht="14.25" customHeight="1">
      <c r="A108" s="121" t="str">
        <f>A91</f>
        <v>1.Residential customers and equal</v>
      </c>
      <c r="B108" s="122"/>
      <c r="C108" s="122"/>
      <c r="D108" s="122"/>
      <c r="E108" s="122"/>
      <c r="F108" s="122"/>
      <c r="G108" s="122"/>
      <c r="H108" s="123"/>
    </row>
    <row r="109" spans="1:8" ht="15" customHeight="1">
      <c r="A109" s="163">
        <v>1</v>
      </c>
      <c r="B109" s="147" t="s">
        <v>507</v>
      </c>
      <c r="C109" s="79" t="s">
        <v>411</v>
      </c>
      <c r="D109" s="146">
        <v>41649</v>
      </c>
      <c r="E109" s="119" t="s">
        <v>182</v>
      </c>
      <c r="F109" s="119" t="s">
        <v>1</v>
      </c>
      <c r="G109" s="119" t="s">
        <v>1</v>
      </c>
      <c r="H109" s="187">
        <v>1069.8610000000001</v>
      </c>
    </row>
    <row r="110" spans="1:8" ht="15">
      <c r="A110" s="163"/>
      <c r="B110" s="147"/>
      <c r="C110" s="79" t="s">
        <v>415</v>
      </c>
      <c r="D110" s="146"/>
      <c r="E110" s="119"/>
      <c r="F110" s="119"/>
      <c r="G110" s="119"/>
      <c r="H110" s="187"/>
    </row>
    <row r="111" spans="1:8" ht="13.5" customHeight="1">
      <c r="A111" s="163"/>
      <c r="B111" s="147"/>
      <c r="C111" s="79" t="s">
        <v>416</v>
      </c>
      <c r="D111" s="146"/>
      <c r="E111" s="119"/>
      <c r="F111" s="119"/>
      <c r="G111" s="119"/>
      <c r="H111" s="187"/>
    </row>
    <row r="112" spans="1:8" ht="15">
      <c r="A112" s="163"/>
      <c r="B112" s="147"/>
      <c r="C112" s="25" t="s">
        <v>419</v>
      </c>
      <c r="D112" s="146"/>
      <c r="E112" s="119"/>
      <c r="F112" s="119"/>
      <c r="G112" s="119"/>
      <c r="H112" s="187"/>
    </row>
    <row r="113" spans="1:8" ht="14.25">
      <c r="A113" s="121" t="s">
        <v>409</v>
      </c>
      <c r="B113" s="122"/>
      <c r="C113" s="122"/>
      <c r="D113" s="122"/>
      <c r="E113" s="122"/>
      <c r="F113" s="122"/>
      <c r="G113" s="122"/>
      <c r="H113" s="123"/>
    </row>
    <row r="114" spans="1:8" ht="32.25" customHeight="1">
      <c r="A114" s="121" t="str">
        <f>A97</f>
        <v>2.1  Other customers, except consumers, whose power receiving  devices are connected to the power grid organization through the power systems of electric energy producers</v>
      </c>
      <c r="B114" s="122"/>
      <c r="C114" s="122"/>
      <c r="D114" s="122"/>
      <c r="E114" s="122"/>
      <c r="F114" s="122"/>
      <c r="G114" s="122"/>
      <c r="H114" s="123"/>
    </row>
    <row r="115" spans="1:8" ht="15">
      <c r="A115" s="163">
        <v>2</v>
      </c>
      <c r="B115" s="147" t="s">
        <v>507</v>
      </c>
      <c r="C115" s="79" t="s">
        <v>411</v>
      </c>
      <c r="D115" s="146">
        <v>41649</v>
      </c>
      <c r="E115" s="119" t="s">
        <v>182</v>
      </c>
      <c r="F115" s="24">
        <v>886161.51399999997</v>
      </c>
      <c r="G115" s="24">
        <v>107.595</v>
      </c>
      <c r="H115" s="26">
        <v>1423.46</v>
      </c>
    </row>
    <row r="116" spans="1:8" ht="14.25" customHeight="1">
      <c r="A116" s="163"/>
      <c r="B116" s="119"/>
      <c r="C116" s="79" t="s">
        <v>415</v>
      </c>
      <c r="D116" s="146"/>
      <c r="E116" s="119"/>
      <c r="F116" s="24">
        <v>1351077.4350000001</v>
      </c>
      <c r="G116" s="24">
        <v>229.268</v>
      </c>
      <c r="H116" s="26">
        <v>2277.5909999999999</v>
      </c>
    </row>
    <row r="117" spans="1:8" ht="13.5" customHeight="1">
      <c r="A117" s="163"/>
      <c r="B117" s="119"/>
      <c r="C117" s="79" t="s">
        <v>416</v>
      </c>
      <c r="D117" s="146"/>
      <c r="E117" s="119"/>
      <c r="F117" s="24">
        <v>1374138.351</v>
      </c>
      <c r="G117" s="24">
        <v>255.41200000000001</v>
      </c>
      <c r="H117" s="26">
        <v>2348.9160000000002</v>
      </c>
    </row>
    <row r="118" spans="1:8" ht="15">
      <c r="A118" s="163"/>
      <c r="B118" s="119"/>
      <c r="C118" s="25" t="s">
        <v>419</v>
      </c>
      <c r="D118" s="146"/>
      <c r="E118" s="119"/>
      <c r="F118" s="24">
        <v>1397246.6340000001</v>
      </c>
      <c r="G118" s="24">
        <v>664.67499999999995</v>
      </c>
      <c r="H118" s="26">
        <v>2775.7640000000001</v>
      </c>
    </row>
    <row r="119" spans="1:8" ht="32.25" customHeight="1">
      <c r="A119" s="121" t="str">
        <f>A102</f>
        <v xml:space="preserve">2.2 Other customers, whose power receiving  devices are connected to the power grid organization through the power systems of electric energy producers </v>
      </c>
      <c r="B119" s="122"/>
      <c r="C119" s="122"/>
      <c r="D119" s="122"/>
      <c r="E119" s="122"/>
      <c r="F119" s="122"/>
      <c r="G119" s="122"/>
      <c r="H119" s="123"/>
    </row>
    <row r="120" spans="1:8" ht="15" customHeight="1">
      <c r="A120" s="163">
        <v>3</v>
      </c>
      <c r="B120" s="147" t="s">
        <v>507</v>
      </c>
      <c r="C120" s="79" t="s">
        <v>411</v>
      </c>
      <c r="D120" s="146">
        <v>41649</v>
      </c>
      <c r="E120" s="119" t="s">
        <v>182</v>
      </c>
      <c r="F120" s="24">
        <v>886161.51399999997</v>
      </c>
      <c r="G120" s="17" t="s">
        <v>1</v>
      </c>
      <c r="H120" s="22" t="s">
        <v>1</v>
      </c>
    </row>
    <row r="121" spans="1:8" ht="15">
      <c r="A121" s="163"/>
      <c r="B121" s="147"/>
      <c r="C121" s="79" t="s">
        <v>415</v>
      </c>
      <c r="D121" s="146"/>
      <c r="E121" s="119"/>
      <c r="F121" s="24">
        <v>1351077.4350000001</v>
      </c>
      <c r="G121" s="17" t="s">
        <v>1</v>
      </c>
      <c r="H121" s="22" t="s">
        <v>1</v>
      </c>
    </row>
    <row r="122" spans="1:8" ht="14.25" customHeight="1">
      <c r="A122" s="163"/>
      <c r="B122" s="147"/>
      <c r="C122" s="79" t="s">
        <v>416</v>
      </c>
      <c r="D122" s="146"/>
      <c r="E122" s="119"/>
      <c r="F122" s="24">
        <v>1374138.351</v>
      </c>
      <c r="G122" s="17" t="s">
        <v>1</v>
      </c>
      <c r="H122" s="22" t="s">
        <v>1</v>
      </c>
    </row>
    <row r="123" spans="1:8" ht="13.5" customHeight="1" thickBot="1">
      <c r="A123" s="192"/>
      <c r="B123" s="189"/>
      <c r="C123" s="28" t="s">
        <v>419</v>
      </c>
      <c r="D123" s="219"/>
      <c r="E123" s="134"/>
      <c r="F123" s="37">
        <v>1397246.6340000001</v>
      </c>
      <c r="G123" s="27" t="s">
        <v>1</v>
      </c>
      <c r="H123" s="38" t="s">
        <v>1</v>
      </c>
    </row>
    <row r="124" spans="1:8" ht="32.25" customHeight="1" thickBot="1">
      <c r="A124" s="143" t="s">
        <v>199</v>
      </c>
      <c r="B124" s="144"/>
      <c r="C124" s="144"/>
      <c r="D124" s="144"/>
      <c r="E124" s="144"/>
      <c r="F124" s="144"/>
      <c r="G124" s="144"/>
      <c r="H124" s="145"/>
    </row>
    <row r="125" spans="1:8" ht="21.75" customHeight="1">
      <c r="A125" s="176" t="s">
        <v>407</v>
      </c>
      <c r="B125" s="177"/>
      <c r="C125" s="177"/>
      <c r="D125" s="177"/>
      <c r="E125" s="177"/>
      <c r="F125" s="177"/>
      <c r="G125" s="177"/>
      <c r="H125" s="178"/>
    </row>
    <row r="126" spans="1:8" ht="21.75" customHeight="1">
      <c r="A126" s="121" t="s">
        <v>408</v>
      </c>
      <c r="B126" s="122"/>
      <c r="C126" s="122"/>
      <c r="D126" s="122"/>
      <c r="E126" s="122"/>
      <c r="F126" s="122"/>
      <c r="G126" s="122"/>
      <c r="H126" s="123"/>
    </row>
    <row r="127" spans="1:8" ht="17.25" customHeight="1">
      <c r="A127" s="141">
        <v>1</v>
      </c>
      <c r="B127" s="147" t="str">
        <f>B133</f>
        <v>№163  of 20.12.2013</v>
      </c>
      <c r="C127" s="82" t="s">
        <v>411</v>
      </c>
      <c r="D127" s="184">
        <f>D133</f>
        <v>41633</v>
      </c>
      <c r="E127" s="183" t="str">
        <f>E133</f>
        <v>Newspaper "Kursk" №52, http://tarifkursk.ru</v>
      </c>
      <c r="F127" s="29">
        <f>651.071865*1000</f>
        <v>651071.86499999999</v>
      </c>
      <c r="G127" s="30">
        <f>0.05996*1000</f>
        <v>59.96</v>
      </c>
      <c r="H127" s="31">
        <f>0.99182*1000</f>
        <v>991.82</v>
      </c>
    </row>
    <row r="128" spans="1:8" ht="17.25" customHeight="1">
      <c r="A128" s="141"/>
      <c r="B128" s="147"/>
      <c r="C128" s="82" t="s">
        <v>415</v>
      </c>
      <c r="D128" s="184"/>
      <c r="E128" s="183"/>
      <c r="F128" s="29">
        <f>1359.515212*1000</f>
        <v>1359515.2120000001</v>
      </c>
      <c r="G128" s="30">
        <f>0.15596*1000</f>
        <v>155.95999999999998</v>
      </c>
      <c r="H128" s="32">
        <f>1.93378*1000</f>
        <v>1933.78</v>
      </c>
    </row>
    <row r="129" spans="1:8" ht="17.25" customHeight="1">
      <c r="A129" s="141"/>
      <c r="B129" s="147"/>
      <c r="C129" s="82" t="s">
        <v>416</v>
      </c>
      <c r="D129" s="184"/>
      <c r="E129" s="183"/>
      <c r="F129" s="29">
        <f>1438.117438*1000</f>
        <v>1438117.4380000001</v>
      </c>
      <c r="G129" s="30">
        <f>0.26471*1000</f>
        <v>264.70999999999998</v>
      </c>
      <c r="H129" s="32">
        <f>2.47672*1000</f>
        <v>2476.7199999999998</v>
      </c>
    </row>
    <row r="130" spans="1:8" ht="17.25" customHeight="1">
      <c r="A130" s="141"/>
      <c r="B130" s="147"/>
      <c r="C130" s="33" t="s">
        <v>419</v>
      </c>
      <c r="D130" s="184"/>
      <c r="E130" s="183"/>
      <c r="F130" s="29">
        <f>1848.426781*1000</f>
        <v>1848426.781</v>
      </c>
      <c r="G130" s="30">
        <f>0.70273*1000</f>
        <v>702.73</v>
      </c>
      <c r="H130" s="31">
        <f>3.17312*1000</f>
        <v>3173.12</v>
      </c>
    </row>
    <row r="131" spans="1:8" ht="24.75" customHeight="1">
      <c r="A131" s="141"/>
      <c r="B131" s="147"/>
      <c r="C131" s="33" t="s">
        <v>412</v>
      </c>
      <c r="D131" s="184"/>
      <c r="E131" s="183"/>
      <c r="F131" s="34"/>
      <c r="G131" s="34"/>
      <c r="H131" s="22" t="s">
        <v>1</v>
      </c>
    </row>
    <row r="132" spans="1:8" ht="15" customHeight="1">
      <c r="A132" s="121" t="s">
        <v>421</v>
      </c>
      <c r="B132" s="122"/>
      <c r="C132" s="122"/>
      <c r="D132" s="122"/>
      <c r="E132" s="122"/>
      <c r="F132" s="122"/>
      <c r="G132" s="122"/>
      <c r="H132" s="123"/>
    </row>
    <row r="133" spans="1:8" ht="20.25" customHeight="1">
      <c r="A133" s="163">
        <v>2</v>
      </c>
      <c r="B133" s="147" t="s">
        <v>508</v>
      </c>
      <c r="C133" s="82" t="s">
        <v>411</v>
      </c>
      <c r="D133" s="184">
        <v>41633</v>
      </c>
      <c r="E133" s="183" t="s">
        <v>200</v>
      </c>
      <c r="F133" s="190" t="s">
        <v>1</v>
      </c>
      <c r="G133" s="190" t="s">
        <v>1</v>
      </c>
      <c r="H133" s="188">
        <f>1.09919*1000</f>
        <v>1099.1899999999998</v>
      </c>
    </row>
    <row r="134" spans="1:8" ht="15" customHeight="1">
      <c r="A134" s="163"/>
      <c r="B134" s="147"/>
      <c r="C134" s="82" t="s">
        <v>415</v>
      </c>
      <c r="D134" s="184"/>
      <c r="E134" s="183"/>
      <c r="F134" s="190"/>
      <c r="G134" s="190"/>
      <c r="H134" s="188"/>
    </row>
    <row r="135" spans="1:8" ht="15" customHeight="1">
      <c r="A135" s="163"/>
      <c r="B135" s="147"/>
      <c r="C135" s="82" t="s">
        <v>416</v>
      </c>
      <c r="D135" s="184"/>
      <c r="E135" s="183"/>
      <c r="F135" s="190"/>
      <c r="G135" s="190"/>
      <c r="H135" s="188"/>
    </row>
    <row r="136" spans="1:8" ht="15" customHeight="1">
      <c r="A136" s="163"/>
      <c r="B136" s="147"/>
      <c r="C136" s="33" t="s">
        <v>419</v>
      </c>
      <c r="D136" s="184"/>
      <c r="E136" s="183"/>
      <c r="F136" s="190"/>
      <c r="G136" s="190"/>
      <c r="H136" s="188"/>
    </row>
    <row r="137" spans="1:8" ht="14.25">
      <c r="A137" s="138" t="s">
        <v>426</v>
      </c>
      <c r="B137" s="139"/>
      <c r="C137" s="139"/>
      <c r="D137" s="139"/>
      <c r="E137" s="139"/>
      <c r="F137" s="139"/>
      <c r="G137" s="139"/>
      <c r="H137" s="140"/>
    </row>
    <row r="138" spans="1:8" ht="15" customHeight="1">
      <c r="A138" s="121" t="str">
        <f>A126</f>
        <v>1. Other customers</v>
      </c>
      <c r="B138" s="122"/>
      <c r="C138" s="122"/>
      <c r="D138" s="122"/>
      <c r="E138" s="122"/>
      <c r="F138" s="122"/>
      <c r="G138" s="122"/>
      <c r="H138" s="123"/>
    </row>
    <row r="139" spans="1:8" ht="18" customHeight="1">
      <c r="A139" s="141">
        <v>1</v>
      </c>
      <c r="B139" s="147" t="str">
        <f>B127</f>
        <v>№163  of 20.12.2013</v>
      </c>
      <c r="C139" s="82" t="s">
        <v>411</v>
      </c>
      <c r="D139" s="184">
        <f>D127</f>
        <v>41633</v>
      </c>
      <c r="E139" s="183" t="str">
        <f>E127</f>
        <v>Newspaper "Kursk" №52, http://tarifkursk.ru</v>
      </c>
      <c r="F139" s="29">
        <f>646.209702*1000</f>
        <v>646209.70200000005</v>
      </c>
      <c r="G139" s="29">
        <f>0.05996*1000</f>
        <v>59.96</v>
      </c>
      <c r="H139" s="39">
        <f>0.99182*1000</f>
        <v>991.82</v>
      </c>
    </row>
    <row r="140" spans="1:8" ht="15" customHeight="1">
      <c r="A140" s="141"/>
      <c r="B140" s="147"/>
      <c r="C140" s="82" t="s">
        <v>415</v>
      </c>
      <c r="D140" s="184"/>
      <c r="E140" s="183"/>
      <c r="F140" s="29">
        <f>1345.670291*1000</f>
        <v>1345670.291</v>
      </c>
      <c r="G140" s="29">
        <f>0.15596*1000</f>
        <v>155.95999999999998</v>
      </c>
      <c r="H140" s="39">
        <f>1.93378*1000</f>
        <v>1933.78</v>
      </c>
    </row>
    <row r="141" spans="1:8" ht="15" customHeight="1">
      <c r="A141" s="141"/>
      <c r="B141" s="147"/>
      <c r="C141" s="82" t="s">
        <v>416</v>
      </c>
      <c r="D141" s="184"/>
      <c r="E141" s="183"/>
      <c r="F141" s="29">
        <f>1427.247592*1000</f>
        <v>1427247.5919999999</v>
      </c>
      <c r="G141" s="29">
        <f>0.26471*1000</f>
        <v>264.70999999999998</v>
      </c>
      <c r="H141" s="39">
        <f>2.47672*1000</f>
        <v>2476.7199999999998</v>
      </c>
    </row>
    <row r="142" spans="1:8" ht="15" customHeight="1">
      <c r="A142" s="141"/>
      <c r="B142" s="147"/>
      <c r="C142" s="33" t="s">
        <v>419</v>
      </c>
      <c r="D142" s="184"/>
      <c r="E142" s="183"/>
      <c r="F142" s="29">
        <f>1816.342552*1000</f>
        <v>1816342.5520000001</v>
      </c>
      <c r="G142" s="29">
        <f>0.70273*1000</f>
        <v>702.73</v>
      </c>
      <c r="H142" s="39">
        <f>3.17312*1000</f>
        <v>3173.12</v>
      </c>
    </row>
    <row r="143" spans="1:8" ht="27" customHeight="1">
      <c r="A143" s="141"/>
      <c r="B143" s="147"/>
      <c r="C143" s="33" t="s">
        <v>412</v>
      </c>
      <c r="D143" s="184"/>
      <c r="E143" s="183"/>
      <c r="F143" s="35"/>
      <c r="G143" s="36"/>
      <c r="H143" s="22" t="s">
        <v>1</v>
      </c>
    </row>
    <row r="144" spans="1:8" ht="15" customHeight="1">
      <c r="A144" s="121" t="str">
        <f>A132</f>
        <v>2. Residential customers and equal</v>
      </c>
      <c r="B144" s="122"/>
      <c r="C144" s="122"/>
      <c r="D144" s="122"/>
      <c r="E144" s="122"/>
      <c r="F144" s="122"/>
      <c r="G144" s="122"/>
      <c r="H144" s="123"/>
    </row>
    <row r="145" spans="1:8" ht="15" customHeight="1">
      <c r="A145" s="163">
        <v>2</v>
      </c>
      <c r="B145" s="147" t="str">
        <f>B133</f>
        <v>№163  of 20.12.2013</v>
      </c>
      <c r="C145" s="82" t="s">
        <v>411</v>
      </c>
      <c r="D145" s="184">
        <f>D133</f>
        <v>41633</v>
      </c>
      <c r="E145" s="183" t="str">
        <f>E133</f>
        <v>Newspaper "Kursk" №52, http://tarifkursk.ru</v>
      </c>
      <c r="F145" s="119" t="s">
        <v>1</v>
      </c>
      <c r="G145" s="119" t="s">
        <v>1</v>
      </c>
      <c r="H145" s="188">
        <f>1.155*1000</f>
        <v>1155</v>
      </c>
    </row>
    <row r="146" spans="1:8" ht="15" customHeight="1">
      <c r="A146" s="163"/>
      <c r="B146" s="147"/>
      <c r="C146" s="82" t="s">
        <v>415</v>
      </c>
      <c r="D146" s="184"/>
      <c r="E146" s="183"/>
      <c r="F146" s="119"/>
      <c r="G146" s="119"/>
      <c r="H146" s="188"/>
    </row>
    <row r="147" spans="1:8" ht="15" customHeight="1">
      <c r="A147" s="163"/>
      <c r="B147" s="147"/>
      <c r="C147" s="82" t="s">
        <v>416</v>
      </c>
      <c r="D147" s="184"/>
      <c r="E147" s="183"/>
      <c r="F147" s="119"/>
      <c r="G147" s="119"/>
      <c r="H147" s="188"/>
    </row>
    <row r="148" spans="1:8" ht="16.5" customHeight="1" thickBot="1">
      <c r="A148" s="185"/>
      <c r="B148" s="186"/>
      <c r="C148" s="40" t="s">
        <v>419</v>
      </c>
      <c r="D148" s="195"/>
      <c r="E148" s="196"/>
      <c r="F148" s="148"/>
      <c r="G148" s="148"/>
      <c r="H148" s="197"/>
    </row>
    <row r="149" spans="1:8" ht="29.25" customHeight="1" thickBot="1">
      <c r="A149" s="160" t="s">
        <v>216</v>
      </c>
      <c r="B149" s="161"/>
      <c r="C149" s="161"/>
      <c r="D149" s="161"/>
      <c r="E149" s="161"/>
      <c r="F149" s="161"/>
      <c r="G149" s="161"/>
      <c r="H149" s="162"/>
    </row>
    <row r="150" spans="1:8" ht="14.25" customHeight="1" thickBot="1">
      <c r="A150" s="164" t="s">
        <v>407</v>
      </c>
      <c r="B150" s="165"/>
      <c r="C150" s="165"/>
      <c r="D150" s="165"/>
      <c r="E150" s="165"/>
      <c r="F150" s="165"/>
      <c r="G150" s="165"/>
      <c r="H150" s="166"/>
    </row>
    <row r="151" spans="1:8" ht="14.25" customHeight="1">
      <c r="A151" s="167" t="s">
        <v>408</v>
      </c>
      <c r="B151" s="168"/>
      <c r="C151" s="168"/>
      <c r="D151" s="168"/>
      <c r="E151" s="168"/>
      <c r="F151" s="168"/>
      <c r="G151" s="168"/>
      <c r="H151" s="169"/>
    </row>
    <row r="152" spans="1:8" ht="15">
      <c r="A152" s="163">
        <v>1</v>
      </c>
      <c r="B152" s="147" t="s">
        <v>509</v>
      </c>
      <c r="C152" s="79" t="s">
        <v>411</v>
      </c>
      <c r="D152" s="119" t="s">
        <v>8</v>
      </c>
      <c r="E152" s="119" t="s">
        <v>219</v>
      </c>
      <c r="F152" s="20">
        <v>800046.93</v>
      </c>
      <c r="G152" s="20">
        <v>70.14</v>
      </c>
      <c r="H152" s="21">
        <v>1246.49</v>
      </c>
    </row>
    <row r="153" spans="1:8" ht="24" customHeight="1">
      <c r="A153" s="163"/>
      <c r="B153" s="147"/>
      <c r="C153" s="79" t="s">
        <v>412</v>
      </c>
      <c r="D153" s="119"/>
      <c r="E153" s="119"/>
      <c r="F153" s="34"/>
      <c r="G153" s="34"/>
      <c r="H153" s="22" t="s">
        <v>1</v>
      </c>
    </row>
    <row r="154" spans="1:8" ht="15">
      <c r="A154" s="163"/>
      <c r="B154" s="147"/>
      <c r="C154" s="79" t="s">
        <v>415</v>
      </c>
      <c r="D154" s="119"/>
      <c r="E154" s="119"/>
      <c r="F154" s="20">
        <v>1329553.76</v>
      </c>
      <c r="G154" s="20">
        <v>265</v>
      </c>
      <c r="H154" s="21">
        <v>2254.02</v>
      </c>
    </row>
    <row r="155" spans="1:8" ht="15">
      <c r="A155" s="163"/>
      <c r="B155" s="147"/>
      <c r="C155" s="79" t="s">
        <v>416</v>
      </c>
      <c r="D155" s="119"/>
      <c r="E155" s="119"/>
      <c r="F155" s="20">
        <v>1415939.53</v>
      </c>
      <c r="G155" s="20">
        <v>336.25</v>
      </c>
      <c r="H155" s="21">
        <v>2506.7399999999998</v>
      </c>
    </row>
    <row r="156" spans="1:8" ht="15">
      <c r="A156" s="163"/>
      <c r="B156" s="147"/>
      <c r="C156" s="25" t="s">
        <v>419</v>
      </c>
      <c r="D156" s="119"/>
      <c r="E156" s="119"/>
      <c r="F156" s="20">
        <v>1924375.97</v>
      </c>
      <c r="G156" s="20">
        <v>779.31</v>
      </c>
      <c r="H156" s="21">
        <v>3692.59</v>
      </c>
    </row>
    <row r="157" spans="1:8" ht="14.25" customHeight="1">
      <c r="A157" s="121" t="s">
        <v>433</v>
      </c>
      <c r="B157" s="122"/>
      <c r="C157" s="122"/>
      <c r="D157" s="122"/>
      <c r="E157" s="122"/>
      <c r="F157" s="122"/>
      <c r="G157" s="122"/>
      <c r="H157" s="123"/>
    </row>
    <row r="158" spans="1:8" ht="14.25" customHeight="1">
      <c r="A158" s="121" t="s">
        <v>434</v>
      </c>
      <c r="B158" s="122"/>
      <c r="C158" s="122"/>
      <c r="D158" s="122"/>
      <c r="E158" s="122"/>
      <c r="F158" s="122"/>
      <c r="G158" s="122"/>
      <c r="H158" s="123"/>
    </row>
    <row r="159" spans="1:8" ht="14.25" customHeight="1">
      <c r="A159" s="131">
        <v>2</v>
      </c>
      <c r="B159" s="112" t="str">
        <f>B152</f>
        <v>№ 56/4 of 20.12.2013</v>
      </c>
      <c r="C159" s="50" t="s">
        <v>411</v>
      </c>
      <c r="D159" s="113" t="str">
        <f>D152</f>
        <v xml:space="preserve"> 27.12.2013</v>
      </c>
      <c r="E159" s="113" t="str">
        <f>E152</f>
        <v>Lipetsk Newspaper,         № 249</v>
      </c>
      <c r="F159" s="113" t="s">
        <v>1</v>
      </c>
      <c r="G159" s="113" t="s">
        <v>1</v>
      </c>
      <c r="H159" s="111">
        <v>893.82</v>
      </c>
    </row>
    <row r="160" spans="1:8" ht="14.25" customHeight="1">
      <c r="A160" s="131"/>
      <c r="B160" s="113"/>
      <c r="C160" s="50" t="s">
        <v>415</v>
      </c>
      <c r="D160" s="113"/>
      <c r="E160" s="113"/>
      <c r="F160" s="113"/>
      <c r="G160" s="113"/>
      <c r="H160" s="111"/>
    </row>
    <row r="161" spans="1:8" ht="14.25" customHeight="1">
      <c r="A161" s="131"/>
      <c r="B161" s="113"/>
      <c r="C161" s="50" t="s">
        <v>416</v>
      </c>
      <c r="D161" s="113"/>
      <c r="E161" s="113"/>
      <c r="F161" s="113"/>
      <c r="G161" s="113"/>
      <c r="H161" s="111"/>
    </row>
    <row r="162" spans="1:8" ht="14.25" customHeight="1">
      <c r="A162" s="131"/>
      <c r="B162" s="113"/>
      <c r="C162" s="52" t="s">
        <v>419</v>
      </c>
      <c r="D162" s="113"/>
      <c r="E162" s="113"/>
      <c r="F162" s="113"/>
      <c r="G162" s="113"/>
      <c r="H162" s="111"/>
    </row>
    <row r="163" spans="1:8" ht="27.75" customHeight="1">
      <c r="A163" s="221" t="s">
        <v>435</v>
      </c>
      <c r="B163" s="222"/>
      <c r="C163" s="222"/>
      <c r="D163" s="222"/>
      <c r="E163" s="222"/>
      <c r="F163" s="222"/>
      <c r="G163" s="222"/>
      <c r="H163" s="223"/>
    </row>
    <row r="164" spans="1:8" ht="14.25" customHeight="1">
      <c r="A164" s="131">
        <v>3</v>
      </c>
      <c r="B164" s="113"/>
      <c r="C164" s="50" t="s">
        <v>411</v>
      </c>
      <c r="D164" s="113" t="str">
        <f>D159</f>
        <v xml:space="preserve"> 27.12.2013</v>
      </c>
      <c r="E164" s="113" t="str">
        <f>E159</f>
        <v>Lipetsk Newspaper,         № 249</v>
      </c>
      <c r="F164" s="113" t="s">
        <v>1</v>
      </c>
      <c r="G164" s="113" t="s">
        <v>1</v>
      </c>
      <c r="H164" s="111">
        <v>146.82</v>
      </c>
    </row>
    <row r="165" spans="1:8" ht="14.25" customHeight="1">
      <c r="A165" s="131"/>
      <c r="B165" s="113"/>
      <c r="C165" s="50" t="s">
        <v>415</v>
      </c>
      <c r="D165" s="113"/>
      <c r="E165" s="113"/>
      <c r="F165" s="113"/>
      <c r="G165" s="113"/>
      <c r="H165" s="111"/>
    </row>
    <row r="166" spans="1:8" ht="14.25" customHeight="1">
      <c r="A166" s="131"/>
      <c r="B166" s="113"/>
      <c r="C166" s="50" t="s">
        <v>416</v>
      </c>
      <c r="D166" s="113"/>
      <c r="E166" s="113"/>
      <c r="F166" s="113"/>
      <c r="G166" s="113"/>
      <c r="H166" s="111"/>
    </row>
    <row r="167" spans="1:8" ht="14.25" customHeight="1">
      <c r="A167" s="131"/>
      <c r="B167" s="113"/>
      <c r="C167" s="52" t="s">
        <v>419</v>
      </c>
      <c r="D167" s="113"/>
      <c r="E167" s="113"/>
      <c r="F167" s="113"/>
      <c r="G167" s="113"/>
      <c r="H167" s="111"/>
    </row>
    <row r="168" spans="1:8" ht="14.25" customHeight="1">
      <c r="A168" s="138" t="s">
        <v>426</v>
      </c>
      <c r="B168" s="139"/>
      <c r="C168" s="139"/>
      <c r="D168" s="139"/>
      <c r="E168" s="139"/>
      <c r="F168" s="139"/>
      <c r="G168" s="139"/>
      <c r="H168" s="140"/>
    </row>
    <row r="169" spans="1:8" ht="14.25" customHeight="1">
      <c r="A169" s="121" t="s">
        <v>408</v>
      </c>
      <c r="B169" s="122"/>
      <c r="C169" s="122"/>
      <c r="D169" s="122"/>
      <c r="E169" s="122"/>
      <c r="F169" s="122"/>
      <c r="G169" s="122"/>
      <c r="H169" s="123"/>
    </row>
    <row r="170" spans="1:8" ht="15">
      <c r="A170" s="163">
        <v>1</v>
      </c>
      <c r="B170" s="147" t="s">
        <v>509</v>
      </c>
      <c r="C170" s="79" t="s">
        <v>411</v>
      </c>
      <c r="D170" s="119" t="str">
        <f>D164</f>
        <v xml:space="preserve"> 27.12.2013</v>
      </c>
      <c r="E170" s="119" t="str">
        <f>E164</f>
        <v>Lipetsk Newspaper,         № 249</v>
      </c>
      <c r="F170" s="20">
        <v>800046.93</v>
      </c>
      <c r="G170" s="20">
        <v>70.14</v>
      </c>
      <c r="H170" s="21">
        <v>1246.49</v>
      </c>
    </row>
    <row r="171" spans="1:8" ht="25.5" customHeight="1">
      <c r="A171" s="163"/>
      <c r="B171" s="147"/>
      <c r="C171" s="79" t="s">
        <v>412</v>
      </c>
      <c r="D171" s="119"/>
      <c r="E171" s="119"/>
      <c r="F171" s="41"/>
      <c r="G171" s="20"/>
      <c r="H171" s="22" t="s">
        <v>1</v>
      </c>
    </row>
    <row r="172" spans="1:8" ht="15">
      <c r="A172" s="163"/>
      <c r="B172" s="147"/>
      <c r="C172" s="79" t="s">
        <v>415</v>
      </c>
      <c r="D172" s="119"/>
      <c r="E172" s="119"/>
      <c r="F172" s="20">
        <v>1329553.76</v>
      </c>
      <c r="G172" s="20">
        <v>265</v>
      </c>
      <c r="H172" s="21">
        <v>2254.02</v>
      </c>
    </row>
    <row r="173" spans="1:8" ht="15">
      <c r="A173" s="163"/>
      <c r="B173" s="147"/>
      <c r="C173" s="79" t="s">
        <v>416</v>
      </c>
      <c r="D173" s="119"/>
      <c r="E173" s="119"/>
      <c r="F173" s="20">
        <v>1415939.53</v>
      </c>
      <c r="G173" s="20">
        <v>336.25</v>
      </c>
      <c r="H173" s="21">
        <v>2506.7399999999998</v>
      </c>
    </row>
    <row r="174" spans="1:8" ht="15">
      <c r="A174" s="163"/>
      <c r="B174" s="147"/>
      <c r="C174" s="25" t="s">
        <v>419</v>
      </c>
      <c r="D174" s="119"/>
      <c r="E174" s="119"/>
      <c r="F174" s="20">
        <v>1924375.97</v>
      </c>
      <c r="G174" s="20">
        <v>779.31</v>
      </c>
      <c r="H174" s="21">
        <v>3692.59</v>
      </c>
    </row>
    <row r="175" spans="1:8" ht="14.25" customHeight="1">
      <c r="A175" s="121" t="s">
        <v>433</v>
      </c>
      <c r="B175" s="122"/>
      <c r="C175" s="122"/>
      <c r="D175" s="122"/>
      <c r="E175" s="122"/>
      <c r="F175" s="122"/>
      <c r="G175" s="122"/>
      <c r="H175" s="123"/>
    </row>
    <row r="176" spans="1:8" ht="14.25" customHeight="1">
      <c r="A176" s="121" t="s">
        <v>434</v>
      </c>
      <c r="B176" s="122"/>
      <c r="C176" s="122"/>
      <c r="D176" s="122"/>
      <c r="E176" s="122"/>
      <c r="F176" s="122"/>
      <c r="G176" s="122"/>
      <c r="H176" s="123"/>
    </row>
    <row r="177" spans="1:15" ht="14.25" customHeight="1">
      <c r="A177" s="114">
        <v>2</v>
      </c>
      <c r="B177" s="112" t="str">
        <f>B170</f>
        <v>№ 56/4 of 20.12.2013</v>
      </c>
      <c r="C177" s="50" t="s">
        <v>411</v>
      </c>
      <c r="D177" s="113" t="str">
        <f>D159</f>
        <v xml:space="preserve"> 27.12.2013</v>
      </c>
      <c r="E177" s="113" t="str">
        <f>E170</f>
        <v>Lipetsk Newspaper,         № 249</v>
      </c>
      <c r="F177" s="113" t="s">
        <v>1</v>
      </c>
      <c r="G177" s="113" t="s">
        <v>1</v>
      </c>
      <c r="H177" s="111">
        <v>893.82</v>
      </c>
    </row>
    <row r="178" spans="1:15" ht="14.25" customHeight="1">
      <c r="A178" s="114"/>
      <c r="B178" s="113"/>
      <c r="C178" s="50" t="s">
        <v>415</v>
      </c>
      <c r="D178" s="113"/>
      <c r="E178" s="113"/>
      <c r="F178" s="113"/>
      <c r="G178" s="113"/>
      <c r="H178" s="111"/>
    </row>
    <row r="179" spans="1:15" ht="14.25" customHeight="1">
      <c r="A179" s="114"/>
      <c r="B179" s="113"/>
      <c r="C179" s="50" t="s">
        <v>416</v>
      </c>
      <c r="D179" s="113"/>
      <c r="E179" s="113"/>
      <c r="F179" s="113"/>
      <c r="G179" s="113"/>
      <c r="H179" s="111"/>
    </row>
    <row r="180" spans="1:15" ht="14.25" customHeight="1">
      <c r="A180" s="114"/>
      <c r="B180" s="113"/>
      <c r="C180" s="52" t="s">
        <v>419</v>
      </c>
      <c r="D180" s="113"/>
      <c r="E180" s="113"/>
      <c r="F180" s="113"/>
      <c r="G180" s="113"/>
      <c r="H180" s="111"/>
    </row>
    <row r="181" spans="1:15" ht="30" customHeight="1">
      <c r="A181" s="121" t="s">
        <v>435</v>
      </c>
      <c r="B181" s="122"/>
      <c r="C181" s="122"/>
      <c r="D181" s="122"/>
      <c r="E181" s="122"/>
      <c r="F181" s="122"/>
      <c r="G181" s="122"/>
      <c r="H181" s="123"/>
    </row>
    <row r="182" spans="1:15" ht="14.25" customHeight="1">
      <c r="A182" s="114">
        <v>3</v>
      </c>
      <c r="B182" s="112" t="str">
        <f>B177</f>
        <v>№ 56/4 of 20.12.2013</v>
      </c>
      <c r="C182" s="50" t="s">
        <v>411</v>
      </c>
      <c r="D182" s="113" t="str">
        <f>D177</f>
        <v xml:space="preserve"> 27.12.2013</v>
      </c>
      <c r="E182" s="113" t="str">
        <f>E177</f>
        <v>Lipetsk Newspaper,         № 249</v>
      </c>
      <c r="F182" s="113" t="s">
        <v>1</v>
      </c>
      <c r="G182" s="113" t="s">
        <v>1</v>
      </c>
      <c r="H182" s="111">
        <v>146.82</v>
      </c>
    </row>
    <row r="183" spans="1:15" ht="14.25" customHeight="1">
      <c r="A183" s="114"/>
      <c r="B183" s="113"/>
      <c r="C183" s="50" t="s">
        <v>415</v>
      </c>
      <c r="D183" s="113"/>
      <c r="E183" s="113"/>
      <c r="F183" s="113"/>
      <c r="G183" s="113"/>
      <c r="H183" s="111"/>
    </row>
    <row r="184" spans="1:15" ht="14.25" customHeight="1">
      <c r="A184" s="114"/>
      <c r="B184" s="113"/>
      <c r="C184" s="50" t="s">
        <v>416</v>
      </c>
      <c r="D184" s="113"/>
      <c r="E184" s="113"/>
      <c r="F184" s="113"/>
      <c r="G184" s="113"/>
      <c r="H184" s="111"/>
    </row>
    <row r="185" spans="1:15" ht="14.25" customHeight="1" thickBot="1">
      <c r="A185" s="170"/>
      <c r="B185" s="171"/>
      <c r="C185" s="51" t="s">
        <v>419</v>
      </c>
      <c r="D185" s="171"/>
      <c r="E185" s="171"/>
      <c r="F185" s="171"/>
      <c r="G185" s="171"/>
      <c r="H185" s="172"/>
    </row>
    <row r="186" spans="1:15" ht="33" customHeight="1" thickBot="1">
      <c r="A186" s="173" t="s">
        <v>242</v>
      </c>
      <c r="B186" s="174"/>
      <c r="C186" s="174"/>
      <c r="D186" s="174"/>
      <c r="E186" s="174"/>
      <c r="F186" s="174"/>
      <c r="G186" s="174"/>
      <c r="H186" s="175"/>
    </row>
    <row r="187" spans="1:15" ht="14.25" customHeight="1">
      <c r="A187" s="116" t="s">
        <v>407</v>
      </c>
      <c r="B187" s="117"/>
      <c r="C187" s="117"/>
      <c r="D187" s="117"/>
      <c r="E187" s="117"/>
      <c r="F187" s="117"/>
      <c r="G187" s="117"/>
      <c r="H187" s="118"/>
    </row>
    <row r="188" spans="1:15" ht="14.25" customHeight="1">
      <c r="A188" s="121" t="s">
        <v>408</v>
      </c>
      <c r="B188" s="122"/>
      <c r="C188" s="122"/>
      <c r="D188" s="122"/>
      <c r="E188" s="122"/>
      <c r="F188" s="122"/>
      <c r="G188" s="122"/>
      <c r="H188" s="123"/>
    </row>
    <row r="189" spans="1:15" ht="18.75" customHeight="1">
      <c r="A189" s="163">
        <v>1</v>
      </c>
      <c r="B189" s="147" t="s">
        <v>510</v>
      </c>
      <c r="C189" s="42" t="s">
        <v>413</v>
      </c>
      <c r="D189" s="146">
        <v>41634</v>
      </c>
      <c r="E189" s="119" t="s">
        <v>243</v>
      </c>
      <c r="F189" s="20">
        <v>821234.41119999997</v>
      </c>
      <c r="G189" s="20">
        <v>132.44</v>
      </c>
      <c r="H189" s="21">
        <v>1577.8635999999999</v>
      </c>
    </row>
    <row r="190" spans="1:15" ht="15">
      <c r="A190" s="163"/>
      <c r="B190" s="147"/>
      <c r="C190" s="42" t="s">
        <v>417</v>
      </c>
      <c r="D190" s="146"/>
      <c r="E190" s="119"/>
      <c r="F190" s="20">
        <v>825903.85019999999</v>
      </c>
      <c r="G190" s="20">
        <v>268.44029999999998</v>
      </c>
      <c r="H190" s="21">
        <v>1863.4616000000001</v>
      </c>
    </row>
    <row r="191" spans="1:15" ht="15">
      <c r="A191" s="163"/>
      <c r="B191" s="147"/>
      <c r="C191" s="42" t="s">
        <v>418</v>
      </c>
      <c r="D191" s="146"/>
      <c r="E191" s="119"/>
      <c r="F191" s="20">
        <v>997854.049</v>
      </c>
      <c r="G191" s="20">
        <v>409.71690000000001</v>
      </c>
      <c r="H191" s="21">
        <v>2505.6165000000001</v>
      </c>
    </row>
    <row r="192" spans="1:15" ht="15">
      <c r="A192" s="163"/>
      <c r="B192" s="147"/>
      <c r="C192" s="42" t="s">
        <v>420</v>
      </c>
      <c r="D192" s="146"/>
      <c r="E192" s="119"/>
      <c r="F192" s="20">
        <v>1149247.5586999999</v>
      </c>
      <c r="G192" s="20">
        <v>474.09640000000002</v>
      </c>
      <c r="H192" s="21">
        <v>3056.7952</v>
      </c>
      <c r="O192" s="6"/>
    </row>
    <row r="193" spans="1:8" ht="15" customHeight="1">
      <c r="A193" s="121" t="s">
        <v>424</v>
      </c>
      <c r="B193" s="122"/>
      <c r="C193" s="122"/>
      <c r="D193" s="122"/>
      <c r="E193" s="122"/>
      <c r="F193" s="122"/>
      <c r="G193" s="122"/>
      <c r="H193" s="123"/>
    </row>
    <row r="194" spans="1:8" ht="30">
      <c r="A194" s="163">
        <v>2</v>
      </c>
      <c r="B194" s="147" t="str">
        <f>B189</f>
        <v>№ 2239-t  of 19.12.13</v>
      </c>
      <c r="C194" s="42" t="s">
        <v>436</v>
      </c>
      <c r="D194" s="146">
        <f>D189</f>
        <v>41634</v>
      </c>
      <c r="E194" s="119" t="str">
        <f>E189</f>
        <v>Portal of the Orel region</v>
      </c>
      <c r="F194" s="20" t="s">
        <v>1</v>
      </c>
      <c r="G194" s="20" t="s">
        <v>1</v>
      </c>
      <c r="H194" s="21">
        <v>1219.6261</v>
      </c>
    </row>
    <row r="195" spans="1:8" ht="30">
      <c r="A195" s="163"/>
      <c r="B195" s="147"/>
      <c r="C195" s="42" t="s">
        <v>437</v>
      </c>
      <c r="D195" s="146"/>
      <c r="E195" s="119"/>
      <c r="F195" s="20" t="s">
        <v>1</v>
      </c>
      <c r="G195" s="20" t="s">
        <v>1</v>
      </c>
      <c r="H195" s="21">
        <v>1833.1854000000001</v>
      </c>
    </row>
    <row r="196" spans="1:8" ht="30">
      <c r="A196" s="163"/>
      <c r="B196" s="147"/>
      <c r="C196" s="42" t="s">
        <v>438</v>
      </c>
      <c r="D196" s="146"/>
      <c r="E196" s="119"/>
      <c r="F196" s="20" t="s">
        <v>1</v>
      </c>
      <c r="G196" s="20" t="s">
        <v>1</v>
      </c>
      <c r="H196" s="21">
        <v>465.3888</v>
      </c>
    </row>
    <row r="197" spans="1:8" ht="30">
      <c r="A197" s="163"/>
      <c r="B197" s="147"/>
      <c r="C197" s="42" t="s">
        <v>439</v>
      </c>
      <c r="D197" s="146"/>
      <c r="E197" s="119"/>
      <c r="F197" s="20" t="s">
        <v>1</v>
      </c>
      <c r="G197" s="20" t="s">
        <v>1</v>
      </c>
      <c r="H197" s="21">
        <v>896.74469999999997</v>
      </c>
    </row>
    <row r="198" spans="1:8" ht="14.25" customHeight="1">
      <c r="A198" s="138" t="s">
        <v>426</v>
      </c>
      <c r="B198" s="139"/>
      <c r="C198" s="139"/>
      <c r="D198" s="139"/>
      <c r="E198" s="139"/>
      <c r="F198" s="139"/>
      <c r="G198" s="139"/>
      <c r="H198" s="140"/>
    </row>
    <row r="199" spans="1:8" ht="14.25">
      <c r="A199" s="121" t="str">
        <f>A188</f>
        <v>1. Other customers</v>
      </c>
      <c r="B199" s="122"/>
      <c r="C199" s="122"/>
      <c r="D199" s="122"/>
      <c r="E199" s="122"/>
      <c r="F199" s="122"/>
      <c r="G199" s="122"/>
      <c r="H199" s="123"/>
    </row>
    <row r="200" spans="1:8" ht="15">
      <c r="A200" s="163">
        <v>1</v>
      </c>
      <c r="B200" s="147" t="s">
        <v>510</v>
      </c>
      <c r="C200" s="42" t="s">
        <v>413</v>
      </c>
      <c r="D200" s="146">
        <v>41634</v>
      </c>
      <c r="E200" s="119" t="s">
        <v>243</v>
      </c>
      <c r="F200" s="20">
        <v>821234.41119999997</v>
      </c>
      <c r="G200" s="20">
        <v>132.44</v>
      </c>
      <c r="H200" s="21">
        <v>1577.8635999999999</v>
      </c>
    </row>
    <row r="201" spans="1:8" ht="15">
      <c r="A201" s="163"/>
      <c r="B201" s="147"/>
      <c r="C201" s="42" t="s">
        <v>417</v>
      </c>
      <c r="D201" s="146"/>
      <c r="E201" s="119"/>
      <c r="F201" s="20">
        <v>825903.85019999999</v>
      </c>
      <c r="G201" s="20">
        <v>268.44029999999998</v>
      </c>
      <c r="H201" s="21">
        <v>1863.4616000000001</v>
      </c>
    </row>
    <row r="202" spans="1:8" ht="15">
      <c r="A202" s="163"/>
      <c r="B202" s="147"/>
      <c r="C202" s="42" t="s">
        <v>418</v>
      </c>
      <c r="D202" s="146"/>
      <c r="E202" s="119"/>
      <c r="F202" s="20">
        <v>997854.049</v>
      </c>
      <c r="G202" s="20">
        <v>409.71690000000001</v>
      </c>
      <c r="H202" s="21">
        <v>2505.6165000000001</v>
      </c>
    </row>
    <row r="203" spans="1:8" ht="15">
      <c r="A203" s="163"/>
      <c r="B203" s="147"/>
      <c r="C203" s="42" t="s">
        <v>420</v>
      </c>
      <c r="D203" s="146"/>
      <c r="E203" s="119"/>
      <c r="F203" s="20">
        <v>1149247.5586999999</v>
      </c>
      <c r="G203" s="20">
        <v>474.09640000000002</v>
      </c>
      <c r="H203" s="21">
        <v>3056.7952</v>
      </c>
    </row>
    <row r="204" spans="1:8" ht="15" customHeight="1">
      <c r="A204" s="121" t="str">
        <f>A193</f>
        <v>2.  Residential customers and equal</v>
      </c>
      <c r="B204" s="122"/>
      <c r="C204" s="122"/>
      <c r="D204" s="122"/>
      <c r="E204" s="122"/>
      <c r="F204" s="122"/>
      <c r="G204" s="122"/>
      <c r="H204" s="123"/>
    </row>
    <row r="205" spans="1:8" ht="30">
      <c r="A205" s="163">
        <v>2</v>
      </c>
      <c r="B205" s="147" t="str">
        <f>B200</f>
        <v>№ 2239-t  of 19.12.13</v>
      </c>
      <c r="C205" s="42" t="s">
        <v>436</v>
      </c>
      <c r="D205" s="146">
        <f>D200</f>
        <v>41634</v>
      </c>
      <c r="E205" s="119" t="str">
        <f>E200</f>
        <v>Portal of the Orel region</v>
      </c>
      <c r="F205" s="20" t="s">
        <v>1</v>
      </c>
      <c r="G205" s="20" t="s">
        <v>1</v>
      </c>
      <c r="H205" s="21">
        <v>1330.3553999999999</v>
      </c>
    </row>
    <row r="206" spans="1:8" ht="30">
      <c r="A206" s="163"/>
      <c r="B206" s="147"/>
      <c r="C206" s="42" t="s">
        <v>437</v>
      </c>
      <c r="D206" s="146"/>
      <c r="E206" s="119"/>
      <c r="F206" s="20" t="s">
        <v>1</v>
      </c>
      <c r="G206" s="20" t="s">
        <v>1</v>
      </c>
      <c r="H206" s="21">
        <v>1991.3689999999999</v>
      </c>
    </row>
    <row r="207" spans="1:8" ht="30">
      <c r="A207" s="163"/>
      <c r="B207" s="147"/>
      <c r="C207" s="42" t="s">
        <v>438</v>
      </c>
      <c r="D207" s="146"/>
      <c r="E207" s="119"/>
      <c r="F207" s="20" t="s">
        <v>1</v>
      </c>
      <c r="G207" s="20" t="s">
        <v>1</v>
      </c>
      <c r="H207" s="21">
        <v>547.30460000000005</v>
      </c>
    </row>
    <row r="208" spans="1:8" ht="30.75" thickBot="1">
      <c r="A208" s="192"/>
      <c r="B208" s="189"/>
      <c r="C208" s="43" t="s">
        <v>439</v>
      </c>
      <c r="D208" s="219"/>
      <c r="E208" s="134"/>
      <c r="F208" s="44" t="s">
        <v>1</v>
      </c>
      <c r="G208" s="44" t="s">
        <v>1</v>
      </c>
      <c r="H208" s="45">
        <v>1010.0096</v>
      </c>
    </row>
    <row r="209" spans="1:8" ht="29.25" customHeight="1" thickBot="1">
      <c r="A209" s="143" t="s">
        <v>263</v>
      </c>
      <c r="B209" s="144"/>
      <c r="C209" s="144"/>
      <c r="D209" s="144"/>
      <c r="E209" s="144"/>
      <c r="F209" s="144"/>
      <c r="G209" s="144"/>
      <c r="H209" s="145"/>
    </row>
    <row r="210" spans="1:8" ht="14.25" customHeight="1">
      <c r="A210" s="176" t="s">
        <v>407</v>
      </c>
      <c r="B210" s="177"/>
      <c r="C210" s="177"/>
      <c r="D210" s="177"/>
      <c r="E210" s="177"/>
      <c r="F210" s="177"/>
      <c r="G210" s="177"/>
      <c r="H210" s="178"/>
    </row>
    <row r="211" spans="1:8" ht="14.25" customHeight="1">
      <c r="A211" s="121" t="s">
        <v>408</v>
      </c>
      <c r="B211" s="122"/>
      <c r="C211" s="122"/>
      <c r="D211" s="122"/>
      <c r="E211" s="122"/>
      <c r="F211" s="122"/>
      <c r="G211" s="122"/>
      <c r="H211" s="123"/>
    </row>
    <row r="212" spans="1:8" ht="15" customHeight="1">
      <c r="A212" s="152">
        <v>1</v>
      </c>
      <c r="B212" s="153" t="s">
        <v>511</v>
      </c>
      <c r="C212" s="14" t="s">
        <v>411</v>
      </c>
      <c r="D212" s="154" t="s">
        <v>56</v>
      </c>
      <c r="E212" s="154" t="s">
        <v>440</v>
      </c>
      <c r="F212" s="15">
        <f>727.20394*1000</f>
        <v>727203.94</v>
      </c>
      <c r="G212" s="15">
        <f>0.15272*1000</f>
        <v>152.72</v>
      </c>
      <c r="H212" s="16">
        <f>1.4666*1000</f>
        <v>1466.6</v>
      </c>
    </row>
    <row r="213" spans="1:8" ht="15">
      <c r="A213" s="152"/>
      <c r="B213" s="153"/>
      <c r="C213" s="14" t="s">
        <v>415</v>
      </c>
      <c r="D213" s="154"/>
      <c r="E213" s="154"/>
      <c r="F213" s="15">
        <f>1373.04897*1000</f>
        <v>1373048.97</v>
      </c>
      <c r="G213" s="15">
        <f>0.34175*1000</f>
        <v>341.75</v>
      </c>
      <c r="H213" s="16">
        <f>2.73667*1000</f>
        <v>2736.67</v>
      </c>
    </row>
    <row r="214" spans="1:8" ht="15">
      <c r="A214" s="152"/>
      <c r="B214" s="153"/>
      <c r="C214" s="14" t="s">
        <v>416</v>
      </c>
      <c r="D214" s="154"/>
      <c r="E214" s="154"/>
      <c r="F214" s="15">
        <f>1322.01866*1000</f>
        <v>1322018.6599999999</v>
      </c>
      <c r="G214" s="15">
        <f>0.36143*1000</f>
        <v>361.42999999999995</v>
      </c>
      <c r="H214" s="16">
        <f>2.77923*1000</f>
        <v>2779.23</v>
      </c>
    </row>
    <row r="215" spans="1:8" ht="15">
      <c r="A215" s="152"/>
      <c r="B215" s="153"/>
      <c r="C215" s="7" t="s">
        <v>419</v>
      </c>
      <c r="D215" s="154"/>
      <c r="E215" s="154"/>
      <c r="F215" s="15">
        <f>1211.99597*1000</f>
        <v>1211995.97</v>
      </c>
      <c r="G215" s="15">
        <f>0.82134*1000</f>
        <v>821.33999999999992</v>
      </c>
      <c r="H215" s="16">
        <f>3.44719*1000</f>
        <v>3447.19</v>
      </c>
    </row>
    <row r="216" spans="1:8" ht="15.75" customHeight="1">
      <c r="A216" s="121" t="s">
        <v>425</v>
      </c>
      <c r="B216" s="122"/>
      <c r="C216" s="122"/>
      <c r="D216" s="122"/>
      <c r="E216" s="122"/>
      <c r="F216" s="122"/>
      <c r="G216" s="122"/>
      <c r="H216" s="123"/>
    </row>
    <row r="217" spans="1:8" ht="15">
      <c r="A217" s="152">
        <v>2</v>
      </c>
      <c r="B217" s="153" t="str">
        <f>B212</f>
        <v>№ 745  of 20.12.2013</v>
      </c>
      <c r="C217" s="14" t="s">
        <v>411</v>
      </c>
      <c r="D217" s="154" t="s">
        <v>56</v>
      </c>
      <c r="E217" s="154" t="str">
        <f>E212</f>
        <v>Bulletin of the Smolensk Regional Duma and Administration of the Smolensk region</v>
      </c>
      <c r="F217" s="158" t="s">
        <v>1</v>
      </c>
      <c r="G217" s="158" t="s">
        <v>1</v>
      </c>
      <c r="H217" s="220">
        <v>631.16</v>
      </c>
    </row>
    <row r="218" spans="1:8" ht="15">
      <c r="A218" s="152"/>
      <c r="B218" s="153"/>
      <c r="C218" s="14" t="s">
        <v>415</v>
      </c>
      <c r="D218" s="154"/>
      <c r="E218" s="154"/>
      <c r="F218" s="158"/>
      <c r="G218" s="158"/>
      <c r="H218" s="220"/>
    </row>
    <row r="219" spans="1:8" ht="15">
      <c r="A219" s="152"/>
      <c r="B219" s="153"/>
      <c r="C219" s="14" t="s">
        <v>416</v>
      </c>
      <c r="D219" s="154"/>
      <c r="E219" s="154"/>
      <c r="F219" s="158"/>
      <c r="G219" s="158"/>
      <c r="H219" s="220"/>
    </row>
    <row r="220" spans="1:8" ht="15">
      <c r="A220" s="152"/>
      <c r="B220" s="153"/>
      <c r="C220" s="7" t="s">
        <v>419</v>
      </c>
      <c r="D220" s="154"/>
      <c r="E220" s="154"/>
      <c r="F220" s="158"/>
      <c r="G220" s="158"/>
      <c r="H220" s="220"/>
    </row>
    <row r="221" spans="1:8" ht="14.25" customHeight="1">
      <c r="A221" s="138" t="s">
        <v>426</v>
      </c>
      <c r="B221" s="139"/>
      <c r="C221" s="139"/>
      <c r="D221" s="139"/>
      <c r="E221" s="139"/>
      <c r="F221" s="139"/>
      <c r="G221" s="139"/>
      <c r="H221" s="140"/>
    </row>
    <row r="222" spans="1:8" ht="14.25" customHeight="1">
      <c r="A222" s="121" t="s">
        <v>408</v>
      </c>
      <c r="B222" s="122"/>
      <c r="C222" s="122"/>
      <c r="D222" s="122"/>
      <c r="E222" s="122"/>
      <c r="F222" s="122"/>
      <c r="G222" s="122"/>
      <c r="H222" s="123"/>
    </row>
    <row r="223" spans="1:8" ht="15" customHeight="1">
      <c r="A223" s="152">
        <v>1</v>
      </c>
      <c r="B223" s="153" t="s">
        <v>511</v>
      </c>
      <c r="C223" s="14" t="s">
        <v>411</v>
      </c>
      <c r="D223" s="154" t="s">
        <v>56</v>
      </c>
      <c r="E223" s="154" t="s">
        <v>440</v>
      </c>
      <c r="F223" s="15">
        <f>727.20394*1000</f>
        <v>727203.94</v>
      </c>
      <c r="G223" s="15">
        <f>0.15272*1000</f>
        <v>152.72</v>
      </c>
      <c r="H223" s="16">
        <f>1.4666*1000</f>
        <v>1466.6</v>
      </c>
    </row>
    <row r="224" spans="1:8" ht="15">
      <c r="A224" s="152"/>
      <c r="B224" s="153"/>
      <c r="C224" s="14" t="s">
        <v>415</v>
      </c>
      <c r="D224" s="154"/>
      <c r="E224" s="154"/>
      <c r="F224" s="15">
        <f>1373.04897*1000</f>
        <v>1373048.97</v>
      </c>
      <c r="G224" s="15">
        <f>0.34175*1000</f>
        <v>341.75</v>
      </c>
      <c r="H224" s="16">
        <f>2.73667*1000</f>
        <v>2736.67</v>
      </c>
    </row>
    <row r="225" spans="1:8" ht="15">
      <c r="A225" s="152"/>
      <c r="B225" s="153"/>
      <c r="C225" s="14" t="s">
        <v>416</v>
      </c>
      <c r="D225" s="154"/>
      <c r="E225" s="154"/>
      <c r="F225" s="15">
        <f>1322.01866*1000</f>
        <v>1322018.6599999999</v>
      </c>
      <c r="G225" s="15">
        <f>0.36143*1000</f>
        <v>361.42999999999995</v>
      </c>
      <c r="H225" s="16">
        <f>2.77923*1000</f>
        <v>2779.23</v>
      </c>
    </row>
    <row r="226" spans="1:8" ht="15">
      <c r="A226" s="152"/>
      <c r="B226" s="153"/>
      <c r="C226" s="7" t="s">
        <v>419</v>
      </c>
      <c r="D226" s="154"/>
      <c r="E226" s="154"/>
      <c r="F226" s="15">
        <f>1211.99597*1000</f>
        <v>1211995.97</v>
      </c>
      <c r="G226" s="15">
        <f>0.82134*1000</f>
        <v>821.33999999999992</v>
      </c>
      <c r="H226" s="16">
        <f>3.44719*1000</f>
        <v>3447.19</v>
      </c>
    </row>
    <row r="227" spans="1:8" ht="15.75" customHeight="1">
      <c r="A227" s="121" t="s">
        <v>421</v>
      </c>
      <c r="B227" s="122"/>
      <c r="C227" s="122"/>
      <c r="D227" s="122"/>
      <c r="E227" s="122"/>
      <c r="F227" s="122"/>
      <c r="G227" s="122"/>
      <c r="H227" s="123"/>
    </row>
    <row r="228" spans="1:8" ht="15">
      <c r="A228" s="152">
        <v>2</v>
      </c>
      <c r="B228" s="153" t="str">
        <f>B223</f>
        <v>№ 745  of 20.12.2013</v>
      </c>
      <c r="C228" s="14" t="s">
        <v>411</v>
      </c>
      <c r="D228" s="154" t="str">
        <f>D223</f>
        <v xml:space="preserve"> 20.12.2013 </v>
      </c>
      <c r="E228" s="154" t="str">
        <f>E223</f>
        <v>Bulletin of the Smolensk Regional Duma and Administration of the Smolensk region</v>
      </c>
      <c r="F228" s="158" t="s">
        <v>1</v>
      </c>
      <c r="G228" s="158" t="s">
        <v>1</v>
      </c>
      <c r="H228" s="127">
        <v>751.83</v>
      </c>
    </row>
    <row r="229" spans="1:8" ht="15">
      <c r="A229" s="152"/>
      <c r="B229" s="153"/>
      <c r="C229" s="14" t="s">
        <v>415</v>
      </c>
      <c r="D229" s="154"/>
      <c r="E229" s="154"/>
      <c r="F229" s="158"/>
      <c r="G229" s="158"/>
      <c r="H229" s="127"/>
    </row>
    <row r="230" spans="1:8" ht="15">
      <c r="A230" s="152"/>
      <c r="B230" s="153"/>
      <c r="C230" s="14" t="s">
        <v>416</v>
      </c>
      <c r="D230" s="154"/>
      <c r="E230" s="154"/>
      <c r="F230" s="158"/>
      <c r="G230" s="158"/>
      <c r="H230" s="127"/>
    </row>
    <row r="231" spans="1:8" ht="15.75" thickBot="1">
      <c r="A231" s="155"/>
      <c r="B231" s="156"/>
      <c r="C231" s="5" t="s">
        <v>419</v>
      </c>
      <c r="D231" s="157"/>
      <c r="E231" s="157"/>
      <c r="F231" s="159"/>
      <c r="G231" s="159"/>
      <c r="H231" s="128"/>
    </row>
    <row r="232" spans="1:8" ht="30" customHeight="1" thickBot="1">
      <c r="A232" s="160" t="s">
        <v>316</v>
      </c>
      <c r="B232" s="161"/>
      <c r="C232" s="161"/>
      <c r="D232" s="161"/>
      <c r="E232" s="161"/>
      <c r="F232" s="161"/>
      <c r="G232" s="161"/>
      <c r="H232" s="162"/>
    </row>
    <row r="233" spans="1:8" ht="14.25" customHeight="1">
      <c r="A233" s="116" t="s">
        <v>407</v>
      </c>
      <c r="B233" s="117"/>
      <c r="C233" s="117"/>
      <c r="D233" s="117"/>
      <c r="E233" s="117"/>
      <c r="F233" s="117"/>
      <c r="G233" s="117"/>
      <c r="H233" s="118"/>
    </row>
    <row r="234" spans="1:8" ht="15" customHeight="1">
      <c r="A234" s="121" t="str">
        <f>A199</f>
        <v>1. Other customers</v>
      </c>
      <c r="B234" s="122"/>
      <c r="C234" s="122"/>
      <c r="D234" s="122"/>
      <c r="E234" s="122"/>
      <c r="F234" s="122"/>
      <c r="G234" s="122"/>
      <c r="H234" s="123"/>
    </row>
    <row r="235" spans="1:8" ht="24.75" customHeight="1">
      <c r="A235" s="149">
        <v>1</v>
      </c>
      <c r="B235" s="147" t="s">
        <v>512</v>
      </c>
      <c r="C235" s="79" t="s">
        <v>414</v>
      </c>
      <c r="D235" s="146" t="s">
        <v>3</v>
      </c>
      <c r="E235" s="119" t="s">
        <v>319</v>
      </c>
      <c r="F235" s="34"/>
      <c r="G235" s="34"/>
      <c r="H235" s="22" t="s">
        <v>1</v>
      </c>
    </row>
    <row r="236" spans="1:8" ht="15">
      <c r="A236" s="149"/>
      <c r="B236" s="147"/>
      <c r="C236" s="79" t="s">
        <v>411</v>
      </c>
      <c r="D236" s="146"/>
      <c r="E236" s="119"/>
      <c r="F236" s="20">
        <f>1187.85869*1000</f>
        <v>1187858.69</v>
      </c>
      <c r="G236" s="20">
        <f>0.05209*1000</f>
        <v>52.089999999999996</v>
      </c>
      <c r="H236" s="21">
        <f>1.98155*1000</f>
        <v>1981.55</v>
      </c>
    </row>
    <row r="237" spans="1:8" ht="15">
      <c r="A237" s="149"/>
      <c r="B237" s="147"/>
      <c r="C237" s="79" t="s">
        <v>415</v>
      </c>
      <c r="D237" s="146"/>
      <c r="E237" s="119"/>
      <c r="F237" s="20">
        <f>1201.55859*1000</f>
        <v>1201558.5900000001</v>
      </c>
      <c r="G237" s="20">
        <f>0.14528*1000</f>
        <v>145.28</v>
      </c>
      <c r="H237" s="21">
        <f>2.09716*1000</f>
        <v>2097.1600000000003</v>
      </c>
    </row>
    <row r="238" spans="1:8" ht="15">
      <c r="A238" s="149"/>
      <c r="B238" s="147"/>
      <c r="C238" s="79" t="s">
        <v>416</v>
      </c>
      <c r="D238" s="146"/>
      <c r="E238" s="119"/>
      <c r="F238" s="20">
        <f>1230.07886*1000</f>
        <v>1230078.8600000001</v>
      </c>
      <c r="G238" s="20">
        <f>0.20525*1000</f>
        <v>205.25</v>
      </c>
      <c r="H238" s="21">
        <f>2.20354*1000</f>
        <v>2203.54</v>
      </c>
    </row>
    <row r="239" spans="1:8" ht="15">
      <c r="A239" s="149"/>
      <c r="B239" s="147"/>
      <c r="C239" s="25" t="s">
        <v>419</v>
      </c>
      <c r="D239" s="146"/>
      <c r="E239" s="119"/>
      <c r="F239" s="20">
        <f>1251.27457*1000</f>
        <v>1251274.57</v>
      </c>
      <c r="G239" s="20">
        <f>0.59994*1000</f>
        <v>599.94000000000005</v>
      </c>
      <c r="H239" s="21">
        <f>2.63249*1000</f>
        <v>2632.4900000000002</v>
      </c>
    </row>
    <row r="240" spans="1:8" ht="14.25" customHeight="1">
      <c r="A240" s="121" t="s">
        <v>421</v>
      </c>
      <c r="B240" s="122"/>
      <c r="C240" s="122"/>
      <c r="D240" s="122"/>
      <c r="E240" s="122"/>
      <c r="F240" s="122"/>
      <c r="G240" s="122"/>
      <c r="H240" s="123"/>
    </row>
    <row r="241" spans="1:8" ht="14.25" customHeight="1">
      <c r="A241" s="121" t="s">
        <v>441</v>
      </c>
      <c r="B241" s="122"/>
      <c r="C241" s="122"/>
      <c r="D241" s="122"/>
      <c r="E241" s="122"/>
      <c r="F241" s="122"/>
      <c r="G241" s="122"/>
      <c r="H241" s="123"/>
    </row>
    <row r="242" spans="1:8" ht="15" customHeight="1">
      <c r="A242" s="129" t="s">
        <v>5</v>
      </c>
      <c r="B242" s="147" t="s">
        <v>512</v>
      </c>
      <c r="C242" s="79" t="s">
        <v>411</v>
      </c>
      <c r="D242" s="146" t="str">
        <f>D235</f>
        <v>24.12.2013;               31.12.2013</v>
      </c>
      <c r="E242" s="119" t="str">
        <f>E235</f>
        <v>Newspaper "Tambov life" (special issue №105 (1445);                  №107 (1447)</v>
      </c>
      <c r="F242" s="119" t="s">
        <v>1</v>
      </c>
      <c r="G242" s="119" t="s">
        <v>1</v>
      </c>
      <c r="H242" s="120">
        <f>1.05471*1000</f>
        <v>1054.71</v>
      </c>
    </row>
    <row r="243" spans="1:8" ht="15">
      <c r="A243" s="129"/>
      <c r="B243" s="147"/>
      <c r="C243" s="79" t="s">
        <v>415</v>
      </c>
      <c r="D243" s="146"/>
      <c r="E243" s="119"/>
      <c r="F243" s="119"/>
      <c r="G243" s="119"/>
      <c r="H243" s="120"/>
    </row>
    <row r="244" spans="1:8" ht="15">
      <c r="A244" s="129"/>
      <c r="B244" s="147"/>
      <c r="C244" s="79" t="s">
        <v>416</v>
      </c>
      <c r="D244" s="146"/>
      <c r="E244" s="119"/>
      <c r="F244" s="119"/>
      <c r="G244" s="119"/>
      <c r="H244" s="120"/>
    </row>
    <row r="245" spans="1:8" ht="15">
      <c r="A245" s="129"/>
      <c r="B245" s="147"/>
      <c r="C245" s="25" t="s">
        <v>419</v>
      </c>
      <c r="D245" s="146"/>
      <c r="E245" s="119"/>
      <c r="F245" s="119"/>
      <c r="G245" s="119"/>
      <c r="H245" s="120"/>
    </row>
    <row r="246" spans="1:8" ht="29.25" customHeight="1">
      <c r="A246" s="121" t="s">
        <v>442</v>
      </c>
      <c r="B246" s="122"/>
      <c r="C246" s="122"/>
      <c r="D246" s="122"/>
      <c r="E246" s="122"/>
      <c r="F246" s="122"/>
      <c r="G246" s="122"/>
      <c r="H246" s="123"/>
    </row>
    <row r="247" spans="1:8" ht="15" customHeight="1">
      <c r="A247" s="129" t="s">
        <v>6</v>
      </c>
      <c r="B247" s="147" t="s">
        <v>512</v>
      </c>
      <c r="C247" s="79" t="s">
        <v>411</v>
      </c>
      <c r="D247" s="146" t="str">
        <f>D242</f>
        <v>24.12.2013;               31.12.2013</v>
      </c>
      <c r="E247" s="119" t="str">
        <f>E242</f>
        <v>Newspaper "Tambov life" (special issue №105 (1445);                  №107 (1447)</v>
      </c>
      <c r="F247" s="119" t="s">
        <v>1</v>
      </c>
      <c r="G247" s="119" t="s">
        <v>1</v>
      </c>
      <c r="H247" s="120">
        <f>0.45281*1000</f>
        <v>452.81</v>
      </c>
    </row>
    <row r="248" spans="1:8" ht="12.75" customHeight="1">
      <c r="A248" s="129"/>
      <c r="B248" s="147"/>
      <c r="C248" s="79" t="s">
        <v>415</v>
      </c>
      <c r="D248" s="146"/>
      <c r="E248" s="119"/>
      <c r="F248" s="119"/>
      <c r="G248" s="119"/>
      <c r="H248" s="120"/>
    </row>
    <row r="249" spans="1:8" ht="12.75" customHeight="1">
      <c r="A249" s="129"/>
      <c r="B249" s="147"/>
      <c r="C249" s="79" t="s">
        <v>416</v>
      </c>
      <c r="D249" s="146"/>
      <c r="E249" s="119"/>
      <c r="F249" s="119"/>
      <c r="G249" s="119"/>
      <c r="H249" s="120"/>
    </row>
    <row r="250" spans="1:8" ht="13.5" customHeight="1">
      <c r="A250" s="129"/>
      <c r="B250" s="147"/>
      <c r="C250" s="25" t="s">
        <v>419</v>
      </c>
      <c r="D250" s="146"/>
      <c r="E250" s="119"/>
      <c r="F250" s="119"/>
      <c r="G250" s="119"/>
      <c r="H250" s="120"/>
    </row>
    <row r="251" spans="1:8" ht="15.75" customHeight="1">
      <c r="A251" s="121" t="s">
        <v>443</v>
      </c>
      <c r="B251" s="122"/>
      <c r="C251" s="122"/>
      <c r="D251" s="122"/>
      <c r="E251" s="122"/>
      <c r="F251" s="122"/>
      <c r="G251" s="122"/>
      <c r="H251" s="123"/>
    </row>
    <row r="252" spans="1:8" ht="15" customHeight="1">
      <c r="A252" s="129" t="s">
        <v>7</v>
      </c>
      <c r="B252" s="147" t="s">
        <v>512</v>
      </c>
      <c r="C252" s="79" t="s">
        <v>411</v>
      </c>
      <c r="D252" s="146" t="str">
        <f>D247</f>
        <v>24.12.2013;               31.12.2013</v>
      </c>
      <c r="E252" s="119" t="str">
        <f>E247</f>
        <v>Newspaper "Tambov life" (special issue №105 (1445);                  №107 (1447)</v>
      </c>
      <c r="F252" s="119" t="s">
        <v>1</v>
      </c>
      <c r="G252" s="119" t="s">
        <v>1</v>
      </c>
      <c r="H252" s="120">
        <f>0.26113*1000</f>
        <v>261.13</v>
      </c>
    </row>
    <row r="253" spans="1:8" ht="15">
      <c r="A253" s="129"/>
      <c r="B253" s="147"/>
      <c r="C253" s="79" t="s">
        <v>415</v>
      </c>
      <c r="D253" s="146"/>
      <c r="E253" s="119"/>
      <c r="F253" s="119"/>
      <c r="G253" s="119"/>
      <c r="H253" s="120"/>
    </row>
    <row r="254" spans="1:8" ht="15">
      <c r="A254" s="129"/>
      <c r="B254" s="147"/>
      <c r="C254" s="79" t="s">
        <v>416</v>
      </c>
      <c r="D254" s="146"/>
      <c r="E254" s="119"/>
      <c r="F254" s="119"/>
      <c r="G254" s="119"/>
      <c r="H254" s="120"/>
    </row>
    <row r="255" spans="1:8" ht="15">
      <c r="A255" s="129"/>
      <c r="B255" s="147"/>
      <c r="C255" s="25" t="s">
        <v>419</v>
      </c>
      <c r="D255" s="146"/>
      <c r="E255" s="119"/>
      <c r="F255" s="119"/>
      <c r="G255" s="119"/>
      <c r="H255" s="120"/>
    </row>
    <row r="256" spans="1:8" ht="14.25">
      <c r="A256" s="138" t="s">
        <v>426</v>
      </c>
      <c r="B256" s="139"/>
      <c r="C256" s="139"/>
      <c r="D256" s="139"/>
      <c r="E256" s="139"/>
      <c r="F256" s="139"/>
      <c r="G256" s="139"/>
      <c r="H256" s="140"/>
    </row>
    <row r="257" spans="1:8" ht="14.25">
      <c r="A257" s="121" t="str">
        <f>A222</f>
        <v>1. Other customers</v>
      </c>
      <c r="B257" s="122"/>
      <c r="C257" s="122"/>
      <c r="D257" s="122"/>
      <c r="E257" s="122"/>
      <c r="F257" s="122"/>
      <c r="G257" s="122"/>
      <c r="H257" s="123"/>
    </row>
    <row r="258" spans="1:8" ht="15" customHeight="1">
      <c r="A258" s="149">
        <v>1</v>
      </c>
      <c r="B258" s="147" t="s">
        <v>512</v>
      </c>
      <c r="C258" s="79" t="s">
        <v>412</v>
      </c>
      <c r="D258" s="146" t="s">
        <v>3</v>
      </c>
      <c r="E258" s="119" t="s">
        <v>319</v>
      </c>
      <c r="F258" s="46"/>
      <c r="G258" s="46"/>
      <c r="H258" s="22" t="s">
        <v>1</v>
      </c>
    </row>
    <row r="259" spans="1:8" ht="15">
      <c r="A259" s="149"/>
      <c r="B259" s="147"/>
      <c r="C259" s="79" t="s">
        <v>411</v>
      </c>
      <c r="D259" s="146"/>
      <c r="E259" s="119"/>
      <c r="F259" s="20">
        <f>1187.85869*1000</f>
        <v>1187858.69</v>
      </c>
      <c r="G259" s="20">
        <f>0.05209*1000</f>
        <v>52.089999999999996</v>
      </c>
      <c r="H259" s="21">
        <f>1.98155*1000</f>
        <v>1981.55</v>
      </c>
    </row>
    <row r="260" spans="1:8" ht="13.5" customHeight="1">
      <c r="A260" s="149"/>
      <c r="B260" s="147"/>
      <c r="C260" s="79" t="s">
        <v>415</v>
      </c>
      <c r="D260" s="146"/>
      <c r="E260" s="119"/>
      <c r="F260" s="20">
        <f>1201.55859*1000</f>
        <v>1201558.5900000001</v>
      </c>
      <c r="G260" s="20">
        <f>0.14528*1000</f>
        <v>145.28</v>
      </c>
      <c r="H260" s="21">
        <f>2.09716*1000</f>
        <v>2097.1600000000003</v>
      </c>
    </row>
    <row r="261" spans="1:8" ht="15">
      <c r="A261" s="149"/>
      <c r="B261" s="147"/>
      <c r="C261" s="79" t="s">
        <v>416</v>
      </c>
      <c r="D261" s="146"/>
      <c r="E261" s="119"/>
      <c r="F261" s="20">
        <f>1230.07886*1000</f>
        <v>1230078.8600000001</v>
      </c>
      <c r="G261" s="20">
        <f>0.20525*1000</f>
        <v>205.25</v>
      </c>
      <c r="H261" s="21">
        <f>2.20354*1000</f>
        <v>2203.54</v>
      </c>
    </row>
    <row r="262" spans="1:8" ht="15">
      <c r="A262" s="149"/>
      <c r="B262" s="147"/>
      <c r="C262" s="25" t="s">
        <v>419</v>
      </c>
      <c r="D262" s="146"/>
      <c r="E262" s="119"/>
      <c r="F262" s="20">
        <f>1251.27457*1000</f>
        <v>1251274.57</v>
      </c>
      <c r="G262" s="20">
        <f>0.59994*1000</f>
        <v>599.94000000000005</v>
      </c>
      <c r="H262" s="21">
        <f>2.63249*1000</f>
        <v>2632.4900000000002</v>
      </c>
    </row>
    <row r="263" spans="1:8" ht="15.75" customHeight="1">
      <c r="A263" s="121" t="str">
        <f>A240</f>
        <v>2. Residential customers and equal</v>
      </c>
      <c r="B263" s="122"/>
      <c r="C263" s="122"/>
      <c r="D263" s="122"/>
      <c r="E263" s="122"/>
      <c r="F263" s="122"/>
      <c r="G263" s="122"/>
      <c r="H263" s="123"/>
    </row>
    <row r="264" spans="1:8" ht="15.75" customHeight="1">
      <c r="A264" s="121" t="str">
        <f>A241</f>
        <v xml:space="preserve">2.1 Residential customers, except those specified in items 2.2, 2.3 and the equal customer category </v>
      </c>
      <c r="B264" s="122"/>
      <c r="C264" s="122"/>
      <c r="D264" s="122"/>
      <c r="E264" s="122"/>
      <c r="F264" s="122"/>
      <c r="G264" s="122"/>
      <c r="H264" s="123"/>
    </row>
    <row r="265" spans="1:8" ht="15" customHeight="1">
      <c r="A265" s="129" t="s">
        <v>5</v>
      </c>
      <c r="B265" s="147" t="s">
        <v>512</v>
      </c>
      <c r="C265" s="79" t="s">
        <v>411</v>
      </c>
      <c r="D265" s="146" t="str">
        <f>D258</f>
        <v>24.12.2013;               31.12.2013</v>
      </c>
      <c r="E265" s="119" t="str">
        <f>E258</f>
        <v>Newspaper "Tambov life" (special issue №105 (1445);                  №107 (1447)</v>
      </c>
      <c r="F265" s="119" t="s">
        <v>1</v>
      </c>
      <c r="G265" s="119" t="s">
        <v>1</v>
      </c>
      <c r="H265" s="120">
        <f>1.05471*1000</f>
        <v>1054.71</v>
      </c>
    </row>
    <row r="266" spans="1:8" ht="12.75" customHeight="1">
      <c r="A266" s="129"/>
      <c r="B266" s="147"/>
      <c r="C266" s="79" t="s">
        <v>415</v>
      </c>
      <c r="D266" s="146"/>
      <c r="E266" s="119"/>
      <c r="F266" s="119"/>
      <c r="G266" s="119"/>
      <c r="H266" s="120"/>
    </row>
    <row r="267" spans="1:8" ht="14.25" customHeight="1">
      <c r="A267" s="129"/>
      <c r="B267" s="147"/>
      <c r="C267" s="79" t="s">
        <v>416</v>
      </c>
      <c r="D267" s="146"/>
      <c r="E267" s="119"/>
      <c r="F267" s="119"/>
      <c r="G267" s="119"/>
      <c r="H267" s="120"/>
    </row>
    <row r="268" spans="1:8" ht="13.5" customHeight="1">
      <c r="A268" s="129"/>
      <c r="B268" s="147"/>
      <c r="C268" s="25" t="s">
        <v>419</v>
      </c>
      <c r="D268" s="146"/>
      <c r="E268" s="119"/>
      <c r="F268" s="119"/>
      <c r="G268" s="119"/>
      <c r="H268" s="120"/>
    </row>
    <row r="269" spans="1:8" ht="36.75" customHeight="1">
      <c r="A269" s="121" t="str">
        <f>A246</f>
        <v xml:space="preserve">2.2 Residential customers, residing in urban settlements in houses equipped with stationary electric stoves and (or) electric heaters in the established order </v>
      </c>
      <c r="B269" s="122"/>
      <c r="C269" s="122"/>
      <c r="D269" s="122"/>
      <c r="E269" s="122"/>
      <c r="F269" s="122"/>
      <c r="G269" s="122"/>
      <c r="H269" s="123"/>
    </row>
    <row r="270" spans="1:8" ht="15" customHeight="1">
      <c r="A270" s="129" t="s">
        <v>6</v>
      </c>
      <c r="B270" s="147" t="s">
        <v>512</v>
      </c>
      <c r="C270" s="79" t="s">
        <v>411</v>
      </c>
      <c r="D270" s="119" t="s">
        <v>3</v>
      </c>
      <c r="E270" s="119" t="str">
        <f>E265</f>
        <v>Newspaper "Tambov life" (special issue №105 (1445);                  №107 (1447)</v>
      </c>
      <c r="F270" s="119" t="s">
        <v>1</v>
      </c>
      <c r="G270" s="119" t="s">
        <v>1</v>
      </c>
      <c r="H270" s="120">
        <f>0.45281*1000</f>
        <v>452.81</v>
      </c>
    </row>
    <row r="271" spans="1:8" ht="15">
      <c r="A271" s="129"/>
      <c r="B271" s="119"/>
      <c r="C271" s="79" t="s">
        <v>415</v>
      </c>
      <c r="D271" s="119"/>
      <c r="E271" s="119"/>
      <c r="F271" s="119"/>
      <c r="G271" s="119"/>
      <c r="H271" s="120"/>
    </row>
    <row r="272" spans="1:8" ht="15">
      <c r="A272" s="129"/>
      <c r="B272" s="119"/>
      <c r="C272" s="79" t="s">
        <v>416</v>
      </c>
      <c r="D272" s="119"/>
      <c r="E272" s="119"/>
      <c r="F272" s="119"/>
      <c r="G272" s="119"/>
      <c r="H272" s="120"/>
    </row>
    <row r="273" spans="1:8" ht="15">
      <c r="A273" s="129"/>
      <c r="B273" s="119"/>
      <c r="C273" s="25" t="s">
        <v>419</v>
      </c>
      <c r="D273" s="119"/>
      <c r="E273" s="119"/>
      <c r="F273" s="119"/>
      <c r="G273" s="119"/>
      <c r="H273" s="120"/>
    </row>
    <row r="274" spans="1:8" ht="15.75" customHeight="1">
      <c r="A274" s="121" t="s">
        <v>444</v>
      </c>
      <c r="B274" s="122"/>
      <c r="C274" s="122"/>
      <c r="D274" s="122"/>
      <c r="E274" s="122"/>
      <c r="F274" s="122"/>
      <c r="G274" s="122"/>
      <c r="H274" s="123"/>
    </row>
    <row r="275" spans="1:8" ht="15.75" customHeight="1">
      <c r="A275" s="129" t="s">
        <v>7</v>
      </c>
      <c r="B275" s="147" t="s">
        <v>512</v>
      </c>
      <c r="C275" s="79" t="s">
        <v>411</v>
      </c>
      <c r="D275" s="119" t="str">
        <f>D270</f>
        <v>24.12.2013;               31.12.2013</v>
      </c>
      <c r="E275" s="119" t="str">
        <f>E270</f>
        <v>Newspaper "Tambov life" (special issue №105 (1445);                  №107 (1447)</v>
      </c>
      <c r="F275" s="119" t="s">
        <v>1</v>
      </c>
      <c r="G275" s="119" t="s">
        <v>1</v>
      </c>
      <c r="H275" s="120">
        <f>0.26113*1000</f>
        <v>261.13</v>
      </c>
    </row>
    <row r="276" spans="1:8" ht="15">
      <c r="A276" s="129"/>
      <c r="B276" s="119"/>
      <c r="C276" s="79" t="s">
        <v>415</v>
      </c>
      <c r="D276" s="119"/>
      <c r="E276" s="119"/>
      <c r="F276" s="119"/>
      <c r="G276" s="119"/>
      <c r="H276" s="120"/>
    </row>
    <row r="277" spans="1:8" ht="15">
      <c r="A277" s="129"/>
      <c r="B277" s="119"/>
      <c r="C277" s="79" t="s">
        <v>416</v>
      </c>
      <c r="D277" s="119"/>
      <c r="E277" s="119"/>
      <c r="F277" s="119"/>
      <c r="G277" s="119"/>
      <c r="H277" s="120"/>
    </row>
    <row r="278" spans="1:8" ht="15.75" thickBot="1">
      <c r="A278" s="150"/>
      <c r="B278" s="148"/>
      <c r="C278" s="23" t="s">
        <v>419</v>
      </c>
      <c r="D278" s="148"/>
      <c r="E278" s="148"/>
      <c r="F278" s="148"/>
      <c r="G278" s="148"/>
      <c r="H278" s="151"/>
    </row>
    <row r="279" spans="1:8" ht="27.75" customHeight="1" thickBot="1">
      <c r="A279" s="143" t="s">
        <v>330</v>
      </c>
      <c r="B279" s="144"/>
      <c r="C279" s="144"/>
      <c r="D279" s="144"/>
      <c r="E279" s="144"/>
      <c r="F279" s="144"/>
      <c r="G279" s="144"/>
      <c r="H279" s="145"/>
    </row>
    <row r="280" spans="1:8" ht="14.25" customHeight="1">
      <c r="A280" s="116" t="s">
        <v>407</v>
      </c>
      <c r="B280" s="117"/>
      <c r="C280" s="117"/>
      <c r="D280" s="117"/>
      <c r="E280" s="117"/>
      <c r="F280" s="117"/>
      <c r="G280" s="117"/>
      <c r="H280" s="118"/>
    </row>
    <row r="281" spans="1:8" ht="17.25" customHeight="1">
      <c r="A281" s="121" t="s">
        <v>408</v>
      </c>
      <c r="B281" s="122"/>
      <c r="C281" s="122"/>
      <c r="D281" s="122"/>
      <c r="E281" s="122"/>
      <c r="F281" s="122"/>
      <c r="G281" s="122"/>
      <c r="H281" s="123"/>
    </row>
    <row r="282" spans="1:8" ht="15">
      <c r="A282" s="141">
        <v>1</v>
      </c>
      <c r="B282" s="181" t="s">
        <v>513</v>
      </c>
      <c r="C282" s="81" t="s">
        <v>411</v>
      </c>
      <c r="D282" s="142">
        <v>41632</v>
      </c>
      <c r="E282" s="142" t="s">
        <v>334</v>
      </c>
      <c r="F282" s="47">
        <v>773369.25199999998</v>
      </c>
      <c r="G282" s="47">
        <v>474.82</v>
      </c>
      <c r="H282" s="48">
        <v>1778.22</v>
      </c>
    </row>
    <row r="283" spans="1:8" ht="15">
      <c r="A283" s="141"/>
      <c r="B283" s="181"/>
      <c r="C283" s="81" t="s">
        <v>415</v>
      </c>
      <c r="D283" s="132"/>
      <c r="E283" s="132"/>
      <c r="F283" s="47">
        <v>958751.59</v>
      </c>
      <c r="G283" s="47">
        <v>479.67</v>
      </c>
      <c r="H283" s="48">
        <v>2200.44</v>
      </c>
    </row>
    <row r="284" spans="1:8" ht="13.5" customHeight="1">
      <c r="A284" s="141"/>
      <c r="B284" s="181"/>
      <c r="C284" s="81" t="s">
        <v>416</v>
      </c>
      <c r="D284" s="132"/>
      <c r="E284" s="132"/>
      <c r="F284" s="47">
        <v>1124457.6200000001</v>
      </c>
      <c r="G284" s="47">
        <v>493.23</v>
      </c>
      <c r="H284" s="48">
        <v>2618.4499999999998</v>
      </c>
    </row>
    <row r="285" spans="1:8" ht="15">
      <c r="A285" s="141"/>
      <c r="B285" s="181"/>
      <c r="C285" s="49" t="s">
        <v>419</v>
      </c>
      <c r="D285" s="132"/>
      <c r="E285" s="132"/>
      <c r="F285" s="47">
        <v>1475022.19</v>
      </c>
      <c r="G285" s="47">
        <v>927.56</v>
      </c>
      <c r="H285" s="48">
        <v>3710.89</v>
      </c>
    </row>
    <row r="286" spans="1:8" ht="15" customHeight="1">
      <c r="A286" s="121" t="s">
        <v>445</v>
      </c>
      <c r="B286" s="122"/>
      <c r="C286" s="122"/>
      <c r="D286" s="122"/>
      <c r="E286" s="122"/>
      <c r="F286" s="122"/>
      <c r="G286" s="122"/>
      <c r="H286" s="123"/>
    </row>
    <row r="287" spans="1:8" ht="15">
      <c r="A287" s="141">
        <v>2</v>
      </c>
      <c r="B287" s="181" t="str">
        <f>B282</f>
        <v>№ 837 of 20.12.13</v>
      </c>
      <c r="C287" s="81" t="s">
        <v>411</v>
      </c>
      <c r="D287" s="142">
        <v>41632</v>
      </c>
      <c r="E287" s="142" t="s">
        <v>334</v>
      </c>
      <c r="F287" s="115" t="s">
        <v>1</v>
      </c>
      <c r="G287" s="115" t="s">
        <v>1</v>
      </c>
      <c r="H287" s="130">
        <v>1221.8599999999999</v>
      </c>
    </row>
    <row r="288" spans="1:8" ht="15">
      <c r="A288" s="141"/>
      <c r="B288" s="181"/>
      <c r="C288" s="81" t="s">
        <v>415</v>
      </c>
      <c r="D288" s="132"/>
      <c r="E288" s="132"/>
      <c r="F288" s="115"/>
      <c r="G288" s="115"/>
      <c r="H288" s="130"/>
    </row>
    <row r="289" spans="1:8" ht="24.75" customHeight="1">
      <c r="A289" s="141"/>
      <c r="B289" s="181"/>
      <c r="C289" s="81" t="s">
        <v>416</v>
      </c>
      <c r="D289" s="132"/>
      <c r="E289" s="132"/>
      <c r="F289" s="115"/>
      <c r="G289" s="115"/>
      <c r="H289" s="130"/>
    </row>
    <row r="290" spans="1:8" s="2" customFormat="1" ht="15">
      <c r="A290" s="141"/>
      <c r="B290" s="181"/>
      <c r="C290" s="49" t="s">
        <v>419</v>
      </c>
      <c r="D290" s="132"/>
      <c r="E290" s="132"/>
      <c r="F290" s="115"/>
      <c r="G290" s="115"/>
      <c r="H290" s="130"/>
    </row>
    <row r="291" spans="1:8" s="2" customFormat="1" ht="15.75" customHeight="1">
      <c r="A291" s="138" t="s">
        <v>426</v>
      </c>
      <c r="B291" s="139"/>
      <c r="C291" s="139"/>
      <c r="D291" s="139"/>
      <c r="E291" s="139"/>
      <c r="F291" s="139"/>
      <c r="G291" s="139"/>
      <c r="H291" s="140"/>
    </row>
    <row r="292" spans="1:8" s="2" customFormat="1" ht="16.5" customHeight="1">
      <c r="A292" s="121" t="str">
        <f>A281</f>
        <v>1. Other customers</v>
      </c>
      <c r="B292" s="122"/>
      <c r="C292" s="122"/>
      <c r="D292" s="122"/>
      <c r="E292" s="122"/>
      <c r="F292" s="122"/>
      <c r="G292" s="122"/>
      <c r="H292" s="123"/>
    </row>
    <row r="293" spans="1:8" s="2" customFormat="1" ht="17.25" customHeight="1">
      <c r="A293" s="141">
        <v>1</v>
      </c>
      <c r="B293" s="181" t="s">
        <v>513</v>
      </c>
      <c r="C293" s="81" t="s">
        <v>411</v>
      </c>
      <c r="D293" s="142">
        <v>41632</v>
      </c>
      <c r="E293" s="142" t="s">
        <v>334</v>
      </c>
      <c r="F293" s="47">
        <v>773369.25199999998</v>
      </c>
      <c r="G293" s="47">
        <v>474.82</v>
      </c>
      <c r="H293" s="19">
        <v>1724.92</v>
      </c>
    </row>
    <row r="294" spans="1:8" s="2" customFormat="1" ht="17.25" customHeight="1">
      <c r="A294" s="141"/>
      <c r="B294" s="181"/>
      <c r="C294" s="81" t="s">
        <v>415</v>
      </c>
      <c r="D294" s="132"/>
      <c r="E294" s="132"/>
      <c r="F294" s="47">
        <v>958751.59</v>
      </c>
      <c r="G294" s="47">
        <v>479.67</v>
      </c>
      <c r="H294" s="19">
        <v>2150.7600000000002</v>
      </c>
    </row>
    <row r="295" spans="1:8" s="2" customFormat="1" ht="17.25" customHeight="1">
      <c r="A295" s="141"/>
      <c r="B295" s="181"/>
      <c r="C295" s="81" t="s">
        <v>416</v>
      </c>
      <c r="D295" s="132"/>
      <c r="E295" s="132"/>
      <c r="F295" s="47">
        <v>1124457.6200000001</v>
      </c>
      <c r="G295" s="47">
        <v>493.23</v>
      </c>
      <c r="H295" s="19">
        <v>2604.38</v>
      </c>
    </row>
    <row r="296" spans="1:8" s="2" customFormat="1" ht="17.25" customHeight="1">
      <c r="A296" s="141"/>
      <c r="B296" s="181"/>
      <c r="C296" s="49" t="s">
        <v>419</v>
      </c>
      <c r="D296" s="132"/>
      <c r="E296" s="132"/>
      <c r="F296" s="47">
        <v>1475022.19</v>
      </c>
      <c r="G296" s="47">
        <v>927.56</v>
      </c>
      <c r="H296" s="19">
        <v>3708.43</v>
      </c>
    </row>
    <row r="297" spans="1:8" s="2" customFormat="1" ht="15.75" customHeight="1">
      <c r="A297" s="121" t="str">
        <f>A286</f>
        <v xml:space="preserve">2. Residential customers and equal </v>
      </c>
      <c r="B297" s="122"/>
      <c r="C297" s="122"/>
      <c r="D297" s="122"/>
      <c r="E297" s="122"/>
      <c r="F297" s="122"/>
      <c r="G297" s="122"/>
      <c r="H297" s="123"/>
    </row>
    <row r="298" spans="1:8" s="2" customFormat="1" ht="16.5" customHeight="1">
      <c r="A298" s="141">
        <v>2</v>
      </c>
      <c r="B298" s="181" t="str">
        <f>B293</f>
        <v>№ 837 of 20.12.13</v>
      </c>
      <c r="C298" s="81" t="s">
        <v>411</v>
      </c>
      <c r="D298" s="142">
        <v>41632</v>
      </c>
      <c r="E298" s="142" t="s">
        <v>334</v>
      </c>
      <c r="F298" s="115" t="s">
        <v>1</v>
      </c>
      <c r="G298" s="115" t="s">
        <v>1</v>
      </c>
      <c r="H298" s="125">
        <v>1304.0899999999999</v>
      </c>
    </row>
    <row r="299" spans="1:8" s="2" customFormat="1" ht="16.5" customHeight="1">
      <c r="A299" s="141"/>
      <c r="B299" s="181"/>
      <c r="C299" s="81" t="s">
        <v>415</v>
      </c>
      <c r="D299" s="132"/>
      <c r="E299" s="132"/>
      <c r="F299" s="115"/>
      <c r="G299" s="115"/>
      <c r="H299" s="125"/>
    </row>
    <row r="300" spans="1:8" s="2" customFormat="1" ht="16.5" customHeight="1">
      <c r="A300" s="141"/>
      <c r="B300" s="181"/>
      <c r="C300" s="81" t="s">
        <v>416</v>
      </c>
      <c r="D300" s="132"/>
      <c r="E300" s="132"/>
      <c r="F300" s="115"/>
      <c r="G300" s="115"/>
      <c r="H300" s="125"/>
    </row>
    <row r="301" spans="1:8" s="2" customFormat="1" ht="16.5" customHeight="1" thickBot="1">
      <c r="A301" s="179"/>
      <c r="B301" s="182"/>
      <c r="C301" s="53" t="s">
        <v>419</v>
      </c>
      <c r="D301" s="180"/>
      <c r="E301" s="180"/>
      <c r="F301" s="124"/>
      <c r="G301" s="124"/>
      <c r="H301" s="126"/>
    </row>
    <row r="302" spans="1:8" s="2" customFormat="1" ht="30.75" customHeight="1" thickBot="1">
      <c r="A302" s="143" t="s">
        <v>352</v>
      </c>
      <c r="B302" s="144"/>
      <c r="C302" s="144"/>
      <c r="D302" s="144"/>
      <c r="E302" s="144"/>
      <c r="F302" s="144"/>
      <c r="G302" s="144"/>
      <c r="H302" s="145"/>
    </row>
    <row r="303" spans="1:8" s="2" customFormat="1" ht="19.5" customHeight="1">
      <c r="A303" s="176" t="s">
        <v>407</v>
      </c>
      <c r="B303" s="177"/>
      <c r="C303" s="177"/>
      <c r="D303" s="177"/>
      <c r="E303" s="177"/>
      <c r="F303" s="177"/>
      <c r="G303" s="177"/>
      <c r="H303" s="178"/>
    </row>
    <row r="304" spans="1:8" s="2" customFormat="1" ht="18" customHeight="1">
      <c r="A304" s="121" t="s">
        <v>408</v>
      </c>
      <c r="B304" s="122"/>
      <c r="C304" s="122"/>
      <c r="D304" s="122"/>
      <c r="E304" s="122"/>
      <c r="F304" s="122"/>
      <c r="G304" s="122"/>
      <c r="H304" s="123"/>
    </row>
    <row r="305" spans="1:8" s="2" customFormat="1" ht="15.75" customHeight="1">
      <c r="A305" s="163">
        <v>1</v>
      </c>
      <c r="B305" s="147" t="s">
        <v>514</v>
      </c>
      <c r="C305" s="79" t="s">
        <v>411</v>
      </c>
      <c r="D305" s="146">
        <v>41639</v>
      </c>
      <c r="E305" s="119" t="s">
        <v>354</v>
      </c>
      <c r="F305" s="24">
        <f>667.86411*1000</f>
        <v>667864.11</v>
      </c>
      <c r="G305" s="24">
        <f>0.05955*1000</f>
        <v>59.55</v>
      </c>
      <c r="H305" s="26">
        <f>1.03024*1000</f>
        <v>1030.24</v>
      </c>
    </row>
    <row r="306" spans="1:8" s="2" customFormat="1" ht="15.75" customHeight="1">
      <c r="A306" s="163"/>
      <c r="B306" s="119"/>
      <c r="C306" s="79" t="s">
        <v>415</v>
      </c>
      <c r="D306" s="119"/>
      <c r="E306" s="119"/>
      <c r="F306" s="24">
        <f>903.02027*1000</f>
        <v>903020.27</v>
      </c>
      <c r="G306" s="24">
        <f>0.23761*1000</f>
        <v>237.60999999999999</v>
      </c>
      <c r="H306" s="26">
        <f>1.50434*1000</f>
        <v>1504.34</v>
      </c>
    </row>
    <row r="307" spans="1:8" s="2" customFormat="1" ht="15.75" customHeight="1">
      <c r="A307" s="163"/>
      <c r="B307" s="119"/>
      <c r="C307" s="79" t="s">
        <v>416</v>
      </c>
      <c r="D307" s="119"/>
      <c r="E307" s="119"/>
      <c r="F307" s="24">
        <f>1008.95261*1000</f>
        <v>1008952.6100000001</v>
      </c>
      <c r="G307" s="24">
        <f>0.27019*1000</f>
        <v>270.19</v>
      </c>
      <c r="H307" s="26">
        <f>1.77699*1000</f>
        <v>1776.99</v>
      </c>
    </row>
    <row r="308" spans="1:8" s="2" customFormat="1" ht="15.75" customHeight="1">
      <c r="A308" s="163"/>
      <c r="B308" s="119"/>
      <c r="C308" s="25" t="s">
        <v>419</v>
      </c>
      <c r="D308" s="119"/>
      <c r="E308" s="119"/>
      <c r="F308" s="24">
        <f>1434.65314*1000</f>
        <v>1434653.14</v>
      </c>
      <c r="G308" s="24">
        <f>0.92552*1000</f>
        <v>925.52</v>
      </c>
      <c r="H308" s="26">
        <f>3.14877*1000</f>
        <v>3148.77</v>
      </c>
    </row>
    <row r="309" spans="1:8" s="2" customFormat="1" ht="14.25" customHeight="1">
      <c r="A309" s="121" t="s">
        <v>422</v>
      </c>
      <c r="B309" s="122"/>
      <c r="C309" s="122"/>
      <c r="D309" s="122"/>
      <c r="E309" s="122"/>
      <c r="F309" s="122"/>
      <c r="G309" s="122"/>
      <c r="H309" s="123"/>
    </row>
    <row r="310" spans="1:8" s="2" customFormat="1" ht="15" customHeight="1">
      <c r="A310" s="163">
        <v>2</v>
      </c>
      <c r="B310" s="147" t="s">
        <v>514</v>
      </c>
      <c r="C310" s="79" t="s">
        <v>411</v>
      </c>
      <c r="D310" s="146">
        <v>41639</v>
      </c>
      <c r="E310" s="119" t="s">
        <v>354</v>
      </c>
      <c r="F310" s="199" t="s">
        <v>1</v>
      </c>
      <c r="G310" s="199" t="s">
        <v>1</v>
      </c>
      <c r="H310" s="187">
        <f>0.52467*1000</f>
        <v>524.66999999999996</v>
      </c>
    </row>
    <row r="311" spans="1:8" s="2" customFormat="1" ht="15" customHeight="1">
      <c r="A311" s="163"/>
      <c r="B311" s="119"/>
      <c r="C311" s="79" t="s">
        <v>415</v>
      </c>
      <c r="D311" s="119"/>
      <c r="E311" s="119"/>
      <c r="F311" s="199"/>
      <c r="G311" s="199"/>
      <c r="H311" s="187"/>
    </row>
    <row r="312" spans="1:8" s="2" customFormat="1" ht="15" customHeight="1">
      <c r="A312" s="163"/>
      <c r="B312" s="119"/>
      <c r="C312" s="79" t="s">
        <v>416</v>
      </c>
      <c r="D312" s="119"/>
      <c r="E312" s="119"/>
      <c r="F312" s="199"/>
      <c r="G312" s="199"/>
      <c r="H312" s="187"/>
    </row>
    <row r="313" spans="1:8" s="2" customFormat="1" ht="15" customHeight="1">
      <c r="A313" s="163"/>
      <c r="B313" s="119"/>
      <c r="C313" s="25" t="s">
        <v>419</v>
      </c>
      <c r="D313" s="119"/>
      <c r="E313" s="119"/>
      <c r="F313" s="199"/>
      <c r="G313" s="199"/>
      <c r="H313" s="187"/>
    </row>
    <row r="314" spans="1:8" s="2" customFormat="1" ht="14.25">
      <c r="A314" s="138" t="s">
        <v>426</v>
      </c>
      <c r="B314" s="139"/>
      <c r="C314" s="139"/>
      <c r="D314" s="139"/>
      <c r="E314" s="139"/>
      <c r="F314" s="139"/>
      <c r="G314" s="139"/>
      <c r="H314" s="140"/>
    </row>
    <row r="315" spans="1:8" s="2" customFormat="1" ht="18.75" customHeight="1">
      <c r="A315" s="121" t="str">
        <f>A304</f>
        <v>1. Other customers</v>
      </c>
      <c r="B315" s="122"/>
      <c r="C315" s="122"/>
      <c r="D315" s="122"/>
      <c r="E315" s="122"/>
      <c r="F315" s="122"/>
      <c r="G315" s="122"/>
      <c r="H315" s="123"/>
    </row>
    <row r="316" spans="1:8" s="2" customFormat="1" ht="15.75" customHeight="1">
      <c r="A316" s="163">
        <v>1</v>
      </c>
      <c r="B316" s="147" t="s">
        <v>514</v>
      </c>
      <c r="C316" s="79" t="s">
        <v>411</v>
      </c>
      <c r="D316" s="146">
        <v>41639</v>
      </c>
      <c r="E316" s="119" t="s">
        <v>354</v>
      </c>
      <c r="F316" s="24">
        <f>667.86411*1000</f>
        <v>667864.11</v>
      </c>
      <c r="G316" s="24">
        <f>0.05955*1000</f>
        <v>59.55</v>
      </c>
      <c r="H316" s="26">
        <f>1.03024*1000</f>
        <v>1030.24</v>
      </c>
    </row>
    <row r="317" spans="1:8" s="2" customFormat="1" ht="15.75" customHeight="1">
      <c r="A317" s="163"/>
      <c r="B317" s="119"/>
      <c r="C317" s="79" t="s">
        <v>415</v>
      </c>
      <c r="D317" s="119"/>
      <c r="E317" s="119"/>
      <c r="F317" s="24">
        <f>903.02027*1000</f>
        <v>903020.27</v>
      </c>
      <c r="G317" s="24">
        <f>0.23761*1000</f>
        <v>237.60999999999999</v>
      </c>
      <c r="H317" s="26">
        <f>1.50434*1000</f>
        <v>1504.34</v>
      </c>
    </row>
    <row r="318" spans="1:8" s="2" customFormat="1" ht="15.75" customHeight="1">
      <c r="A318" s="163"/>
      <c r="B318" s="119"/>
      <c r="C318" s="79" t="s">
        <v>416</v>
      </c>
      <c r="D318" s="119"/>
      <c r="E318" s="119"/>
      <c r="F318" s="24">
        <f>1008.95261*1000</f>
        <v>1008952.6100000001</v>
      </c>
      <c r="G318" s="24">
        <f>0.27019*1000</f>
        <v>270.19</v>
      </c>
      <c r="H318" s="26">
        <f>1.77699*1000</f>
        <v>1776.99</v>
      </c>
    </row>
    <row r="319" spans="1:8" s="2" customFormat="1" ht="15.75" customHeight="1">
      <c r="A319" s="163"/>
      <c r="B319" s="119"/>
      <c r="C319" s="25" t="s">
        <v>419</v>
      </c>
      <c r="D319" s="119"/>
      <c r="E319" s="119"/>
      <c r="F319" s="24">
        <f>1434.65314*1000</f>
        <v>1434653.14</v>
      </c>
      <c r="G319" s="24">
        <f>0.92552*1000</f>
        <v>925.52</v>
      </c>
      <c r="H319" s="26">
        <f>3.14877*1000</f>
        <v>3148.77</v>
      </c>
    </row>
    <row r="320" spans="1:8" s="2" customFormat="1" ht="15.75" customHeight="1">
      <c r="A320" s="121" t="str">
        <f>A309</f>
        <v xml:space="preserve"> 2.Residential customers and equal</v>
      </c>
      <c r="B320" s="122"/>
      <c r="C320" s="122"/>
      <c r="D320" s="122"/>
      <c r="E320" s="122"/>
      <c r="F320" s="122"/>
      <c r="G320" s="122"/>
      <c r="H320" s="123"/>
    </row>
    <row r="321" spans="1:8" s="2" customFormat="1" ht="15.75" customHeight="1">
      <c r="A321" s="163">
        <v>2</v>
      </c>
      <c r="B321" s="147" t="s">
        <v>514</v>
      </c>
      <c r="C321" s="79" t="s">
        <v>411</v>
      </c>
      <c r="D321" s="146">
        <v>41639</v>
      </c>
      <c r="E321" s="119" t="s">
        <v>354</v>
      </c>
      <c r="F321" s="199" t="s">
        <v>1</v>
      </c>
      <c r="G321" s="199" t="s">
        <v>1</v>
      </c>
      <c r="H321" s="187">
        <f>0.70381*1000</f>
        <v>703.81000000000006</v>
      </c>
    </row>
    <row r="322" spans="1:8" s="2" customFormat="1" ht="15.75" customHeight="1">
      <c r="A322" s="163"/>
      <c r="B322" s="119"/>
      <c r="C322" s="79" t="s">
        <v>415</v>
      </c>
      <c r="D322" s="119"/>
      <c r="E322" s="119"/>
      <c r="F322" s="199"/>
      <c r="G322" s="199"/>
      <c r="H322" s="187"/>
    </row>
    <row r="323" spans="1:8" s="2" customFormat="1" ht="15.75" customHeight="1">
      <c r="A323" s="163"/>
      <c r="B323" s="119"/>
      <c r="C323" s="79" t="s">
        <v>416</v>
      </c>
      <c r="D323" s="119"/>
      <c r="E323" s="119"/>
      <c r="F323" s="199"/>
      <c r="G323" s="199"/>
      <c r="H323" s="187"/>
    </row>
    <row r="324" spans="1:8" s="2" customFormat="1" ht="15.75" customHeight="1" thickBot="1">
      <c r="A324" s="185"/>
      <c r="B324" s="148"/>
      <c r="C324" s="23" t="s">
        <v>419</v>
      </c>
      <c r="D324" s="148"/>
      <c r="E324" s="148"/>
      <c r="F324" s="200"/>
      <c r="G324" s="200"/>
      <c r="H324" s="198"/>
    </row>
    <row r="325" spans="1:8" s="2" customFormat="1" ht="9.9499999999999993" customHeight="1">
      <c r="H325" s="13"/>
    </row>
    <row r="326" spans="1:8" s="2" customFormat="1" ht="9.9499999999999993" customHeight="1">
      <c r="H326" s="13"/>
    </row>
    <row r="327" spans="1:8" s="2" customFormat="1" ht="9.9499999999999993" customHeight="1">
      <c r="H327" s="13"/>
    </row>
    <row r="328" spans="1:8" s="2" customFormat="1" ht="9.9499999999999993" customHeight="1">
      <c r="H328" s="13"/>
    </row>
    <row r="329" spans="1:8" s="2" customFormat="1" ht="13.5" customHeight="1">
      <c r="H329" s="13"/>
    </row>
    <row r="330" spans="1:8" s="2" customFormat="1">
      <c r="H330" s="13"/>
    </row>
    <row r="331" spans="1:8" s="2" customFormat="1">
      <c r="H331" s="13"/>
    </row>
    <row r="332" spans="1:8" s="2" customFormat="1" ht="9.9499999999999993" customHeight="1">
      <c r="H332" s="13"/>
    </row>
    <row r="333" spans="1:8" s="2" customFormat="1" ht="9.9499999999999993" customHeight="1">
      <c r="H333" s="13"/>
    </row>
    <row r="334" spans="1:8" s="2" customFormat="1" ht="9.9499999999999993" customHeight="1">
      <c r="H334" s="13"/>
    </row>
    <row r="335" spans="1:8" s="2" customFormat="1" ht="9.9499999999999993" customHeight="1">
      <c r="H335" s="13"/>
    </row>
    <row r="336" spans="1:8" s="2" customFormat="1">
      <c r="H336" s="13"/>
    </row>
    <row r="337" spans="8:8" s="2" customFormat="1" ht="13.5" customHeight="1">
      <c r="H337" s="13"/>
    </row>
    <row r="338" spans="8:8" s="2" customFormat="1">
      <c r="H338" s="13"/>
    </row>
    <row r="339" spans="8:8" s="2" customFormat="1" ht="9.9499999999999993" customHeight="1">
      <c r="H339" s="13"/>
    </row>
    <row r="340" spans="8:8" s="2" customFormat="1" ht="9.9499999999999993" customHeight="1">
      <c r="H340" s="13"/>
    </row>
    <row r="341" spans="8:8" s="2" customFormat="1" ht="9.9499999999999993" customHeight="1">
      <c r="H341" s="13"/>
    </row>
    <row r="342" spans="8:8" s="2" customFormat="1" ht="9.9499999999999993" customHeight="1">
      <c r="H342" s="13"/>
    </row>
    <row r="343" spans="8:8" s="2" customFormat="1" ht="9.9499999999999993" customHeight="1">
      <c r="H343" s="13"/>
    </row>
    <row r="344" spans="8:8" s="2" customFormat="1" ht="9.9499999999999993" customHeight="1">
      <c r="H344" s="13"/>
    </row>
    <row r="345" spans="8:8" s="2" customFormat="1" ht="9.9499999999999993" customHeight="1">
      <c r="H345" s="13"/>
    </row>
    <row r="346" spans="8:8" s="2" customFormat="1" ht="9.9499999999999993" customHeight="1">
      <c r="H346" s="13"/>
    </row>
    <row r="347" spans="8:8" s="2" customFormat="1" ht="9.9499999999999993" customHeight="1">
      <c r="H347" s="13"/>
    </row>
    <row r="348" spans="8:8" s="2" customFormat="1" ht="9.9499999999999993" customHeight="1">
      <c r="H348" s="13"/>
    </row>
    <row r="349" spans="8:8" s="2" customFormat="1" ht="9.9499999999999993" customHeight="1">
      <c r="H349" s="13"/>
    </row>
    <row r="350" spans="8:8" s="2" customFormat="1" ht="9.9499999999999993" customHeight="1">
      <c r="H350" s="13"/>
    </row>
    <row r="351" spans="8:8" s="2" customFormat="1" ht="9.9499999999999993" customHeight="1">
      <c r="H351" s="13"/>
    </row>
    <row r="352" spans="8:8" s="2" customFormat="1" ht="9.9499999999999993" customHeight="1">
      <c r="H352" s="13"/>
    </row>
    <row r="353" spans="8:8" s="2" customFormat="1" ht="9.9499999999999993" customHeight="1">
      <c r="H353" s="13"/>
    </row>
    <row r="354" spans="8:8" s="2" customFormat="1" ht="9.9499999999999993" customHeight="1">
      <c r="H354" s="13"/>
    </row>
    <row r="355" spans="8:8" s="2" customFormat="1" ht="9.9499999999999993" customHeight="1">
      <c r="H355" s="13"/>
    </row>
    <row r="356" spans="8:8" s="2" customFormat="1" ht="9.9499999999999993" customHeight="1">
      <c r="H356" s="13"/>
    </row>
    <row r="357" spans="8:8" s="2" customFormat="1" ht="9.9499999999999993" customHeight="1">
      <c r="H357" s="13"/>
    </row>
    <row r="358" spans="8:8" s="2" customFormat="1" ht="9.9499999999999993" customHeight="1">
      <c r="H358" s="13"/>
    </row>
    <row r="359" spans="8:8" s="2" customFormat="1" ht="9.9499999999999993" customHeight="1">
      <c r="H359" s="13"/>
    </row>
    <row r="360" spans="8:8" s="2" customFormat="1" ht="9.9499999999999993" customHeight="1">
      <c r="H360" s="13"/>
    </row>
    <row r="361" spans="8:8" s="2" customFormat="1" ht="9.9499999999999993" customHeight="1">
      <c r="H361" s="13"/>
    </row>
    <row r="362" spans="8:8" s="2" customFormat="1" ht="9.9499999999999993" customHeight="1">
      <c r="H362" s="13"/>
    </row>
    <row r="363" spans="8:8" s="2" customFormat="1" ht="9.9499999999999993" customHeight="1">
      <c r="H363" s="13"/>
    </row>
    <row r="364" spans="8:8" s="2" customFormat="1" ht="9.9499999999999993" customHeight="1">
      <c r="H364" s="13"/>
    </row>
    <row r="365" spans="8:8" s="2" customFormat="1" ht="9.9499999999999993" customHeight="1">
      <c r="H365" s="13"/>
    </row>
    <row r="366" spans="8:8" s="2" customFormat="1" ht="9.9499999999999993" customHeight="1">
      <c r="H366" s="13"/>
    </row>
    <row r="367" spans="8:8" s="2" customFormat="1" ht="9.9499999999999993" customHeight="1">
      <c r="H367" s="13"/>
    </row>
    <row r="368" spans="8:8" s="2" customFormat="1" ht="9.9499999999999993" customHeight="1">
      <c r="H368" s="13"/>
    </row>
    <row r="369" spans="8:8" s="2" customFormat="1" ht="9.9499999999999993" customHeight="1">
      <c r="H369" s="13"/>
    </row>
    <row r="370" spans="8:8" s="2" customFormat="1" ht="9.9499999999999993" customHeight="1">
      <c r="H370" s="13"/>
    </row>
    <row r="371" spans="8:8" s="2" customFormat="1" ht="9.9499999999999993" customHeight="1">
      <c r="H371" s="13"/>
    </row>
    <row r="372" spans="8:8" s="2" customFormat="1" ht="9.9499999999999993" customHeight="1">
      <c r="H372" s="13"/>
    </row>
    <row r="373" spans="8:8" s="2" customFormat="1" ht="9.9499999999999993" customHeight="1">
      <c r="H373" s="13"/>
    </row>
    <row r="374" spans="8:8" s="2" customFormat="1" ht="9.9499999999999993" customHeight="1">
      <c r="H374" s="13"/>
    </row>
    <row r="375" spans="8:8" s="2" customFormat="1" ht="9.9499999999999993" customHeight="1">
      <c r="H375" s="13"/>
    </row>
    <row r="376" spans="8:8" s="2" customFormat="1" ht="9.9499999999999993" customHeight="1">
      <c r="H376" s="13"/>
    </row>
    <row r="377" spans="8:8" s="2" customFormat="1" ht="9.9499999999999993" customHeight="1">
      <c r="H377" s="13"/>
    </row>
    <row r="378" spans="8:8" s="2" customFormat="1" ht="9.9499999999999993" customHeight="1">
      <c r="H378" s="13"/>
    </row>
    <row r="379" spans="8:8" s="2" customFormat="1" ht="9.9499999999999993" customHeight="1">
      <c r="H379" s="13"/>
    </row>
    <row r="380" spans="8:8" s="2" customFormat="1" ht="9.9499999999999993" customHeight="1">
      <c r="H380" s="13"/>
    </row>
    <row r="381" spans="8:8" s="2" customFormat="1" ht="9.9499999999999993" customHeight="1">
      <c r="H381" s="13"/>
    </row>
    <row r="382" spans="8:8" s="2" customFormat="1" ht="9.9499999999999993" customHeight="1">
      <c r="H382" s="13"/>
    </row>
    <row r="383" spans="8:8" s="2" customFormat="1" ht="9.9499999999999993" customHeight="1">
      <c r="H383" s="13"/>
    </row>
    <row r="384" spans="8:8" s="2" customFormat="1" ht="9.9499999999999993" customHeight="1">
      <c r="H384" s="13"/>
    </row>
    <row r="385" spans="8:8" s="2" customFormat="1" ht="9.9499999999999993" customHeight="1">
      <c r="H385" s="13"/>
    </row>
    <row r="386" spans="8:8" s="2" customFormat="1" ht="9.9499999999999993" customHeight="1">
      <c r="H386" s="13"/>
    </row>
    <row r="387" spans="8:8" s="2" customFormat="1" ht="9.9499999999999993" customHeight="1">
      <c r="H387" s="13"/>
    </row>
    <row r="388" spans="8:8" s="2" customFormat="1" ht="9.9499999999999993" customHeight="1">
      <c r="H388" s="13"/>
    </row>
    <row r="389" spans="8:8" s="2" customFormat="1" ht="9.9499999999999993" customHeight="1">
      <c r="H389" s="13"/>
    </row>
    <row r="390" spans="8:8" s="2" customFormat="1" ht="9.9499999999999993" customHeight="1">
      <c r="H390" s="13"/>
    </row>
    <row r="391" spans="8:8" s="2" customFormat="1" ht="9.9499999999999993" customHeight="1">
      <c r="H391" s="13"/>
    </row>
    <row r="392" spans="8:8" s="2" customFormat="1" ht="9.9499999999999993" customHeight="1">
      <c r="H392" s="13"/>
    </row>
    <row r="393" spans="8:8" s="2" customFormat="1" ht="9.9499999999999993" customHeight="1">
      <c r="H393" s="13"/>
    </row>
    <row r="394" spans="8:8" s="2" customFormat="1" ht="9.9499999999999993" customHeight="1">
      <c r="H394" s="13"/>
    </row>
    <row r="395" spans="8:8" s="2" customFormat="1" ht="9.9499999999999993" customHeight="1">
      <c r="H395" s="13"/>
    </row>
    <row r="396" spans="8:8" s="2" customFormat="1" ht="9.9499999999999993" customHeight="1">
      <c r="H396" s="13"/>
    </row>
    <row r="397" spans="8:8" s="2" customFormat="1" ht="9.9499999999999993" customHeight="1">
      <c r="H397" s="13"/>
    </row>
    <row r="398" spans="8:8" s="2" customFormat="1" ht="9.9499999999999993" customHeight="1">
      <c r="H398" s="13"/>
    </row>
    <row r="399" spans="8:8" s="2" customFormat="1" ht="9.75" customHeight="1">
      <c r="H399" s="13"/>
    </row>
    <row r="400" spans="8:8" s="2" customFormat="1" ht="9.9499999999999993" customHeight="1">
      <c r="H400" s="13"/>
    </row>
    <row r="401" spans="8:8" s="2" customFormat="1" ht="9.9499999999999993" customHeight="1">
      <c r="H401" s="13"/>
    </row>
    <row r="402" spans="8:8" s="2" customFormat="1" ht="9.9499999999999993" customHeight="1">
      <c r="H402" s="13"/>
    </row>
    <row r="403" spans="8:8" s="2" customFormat="1" ht="9.9499999999999993" customHeight="1">
      <c r="H403" s="13"/>
    </row>
    <row r="404" spans="8:8" s="2" customFormat="1" ht="9.9499999999999993" customHeight="1">
      <c r="H404" s="13"/>
    </row>
    <row r="405" spans="8:8" s="2" customFormat="1" ht="9.9499999999999993" customHeight="1">
      <c r="H405" s="13"/>
    </row>
    <row r="406" spans="8:8" s="2" customFormat="1" ht="9.9499999999999993" customHeight="1">
      <c r="H406" s="13"/>
    </row>
    <row r="407" spans="8:8" s="2" customFormat="1" ht="9.9499999999999993" customHeight="1">
      <c r="H407" s="13"/>
    </row>
    <row r="408" spans="8:8" s="2" customFormat="1" ht="9.9499999999999993" customHeight="1">
      <c r="H408" s="13"/>
    </row>
    <row r="409" spans="8:8" s="2" customFormat="1" ht="9.9499999999999993" customHeight="1">
      <c r="H409" s="13"/>
    </row>
    <row r="410" spans="8:8" s="2" customFormat="1" ht="9.9499999999999993" customHeight="1">
      <c r="H410" s="13"/>
    </row>
    <row r="411" spans="8:8" s="2" customFormat="1" ht="9.9499999999999993" customHeight="1">
      <c r="H411" s="13"/>
    </row>
    <row r="412" spans="8:8" s="2" customFormat="1">
      <c r="H412" s="13"/>
    </row>
    <row r="413" spans="8:8" s="2" customFormat="1">
      <c r="H413" s="13"/>
    </row>
    <row r="414" spans="8:8" s="2" customFormat="1">
      <c r="H414" s="13"/>
    </row>
    <row r="415" spans="8:8" s="2" customFormat="1">
      <c r="H415" s="13"/>
    </row>
    <row r="416" spans="8:8" s="2" customFormat="1">
      <c r="H416" s="13"/>
    </row>
    <row r="417" spans="8:8" s="2" customFormat="1">
      <c r="H417" s="13"/>
    </row>
    <row r="418" spans="8:8" s="2" customFormat="1">
      <c r="H418" s="13"/>
    </row>
    <row r="419" spans="8:8" s="2" customFormat="1">
      <c r="H419" s="13"/>
    </row>
    <row r="420" spans="8:8" s="2" customFormat="1">
      <c r="H420" s="13"/>
    </row>
    <row r="421" spans="8:8" s="2" customFormat="1">
      <c r="H421" s="13"/>
    </row>
    <row r="422" spans="8:8" s="2" customFormat="1">
      <c r="H422" s="13"/>
    </row>
    <row r="423" spans="8:8" s="2" customFormat="1">
      <c r="H423" s="13"/>
    </row>
    <row r="424" spans="8:8" s="2" customFormat="1">
      <c r="H424" s="13"/>
    </row>
    <row r="425" spans="8:8" s="2" customFormat="1" ht="9.9499999999999993" customHeight="1">
      <c r="H425" s="13"/>
    </row>
    <row r="426" spans="8:8" s="2" customFormat="1" ht="9.9499999999999993" customHeight="1">
      <c r="H426" s="13"/>
    </row>
    <row r="427" spans="8:8" s="2" customFormat="1" ht="9.9499999999999993" customHeight="1">
      <c r="H427" s="13"/>
    </row>
    <row r="428" spans="8:8" s="2" customFormat="1" ht="9.9499999999999993" customHeight="1">
      <c r="H428" s="13"/>
    </row>
    <row r="429" spans="8:8" s="2" customFormat="1" ht="9.9499999999999993" customHeight="1">
      <c r="H429" s="13"/>
    </row>
    <row r="430" spans="8:8" s="2" customFormat="1" ht="9.9499999999999993" customHeight="1">
      <c r="H430" s="13"/>
    </row>
    <row r="431" spans="8:8" s="2" customFormat="1" ht="9.9499999999999993" customHeight="1">
      <c r="H431" s="13"/>
    </row>
    <row r="432" spans="8:8" s="2" customFormat="1" ht="9.9499999999999993" customHeight="1">
      <c r="H432" s="13"/>
    </row>
    <row r="433" spans="8:8" s="2" customFormat="1" ht="9.9499999999999993" customHeight="1">
      <c r="H433" s="13"/>
    </row>
    <row r="434" spans="8:8" s="2" customFormat="1" ht="9.9499999999999993" customHeight="1">
      <c r="H434" s="13"/>
    </row>
    <row r="435" spans="8:8" s="2" customFormat="1" ht="9.9499999999999993" customHeight="1">
      <c r="H435" s="13"/>
    </row>
    <row r="436" spans="8:8" s="2" customFormat="1" ht="9.9499999999999993" customHeight="1">
      <c r="H436" s="13"/>
    </row>
    <row r="437" spans="8:8" s="2" customFormat="1" ht="9.9499999999999993" customHeight="1">
      <c r="H437" s="13"/>
    </row>
    <row r="438" spans="8:8" s="2" customFormat="1" ht="9.9499999999999993" customHeight="1">
      <c r="H438" s="13"/>
    </row>
    <row r="439" spans="8:8" s="2" customFormat="1" ht="9.9499999999999993" customHeight="1">
      <c r="H439" s="13"/>
    </row>
    <row r="440" spans="8:8" s="2" customFormat="1" ht="9.9499999999999993" customHeight="1">
      <c r="H440" s="13"/>
    </row>
    <row r="441" spans="8:8" s="2" customFormat="1">
      <c r="H441" s="13"/>
    </row>
    <row r="442" spans="8:8" s="2" customFormat="1">
      <c r="H442" s="13"/>
    </row>
    <row r="443" spans="8:8" s="2" customFormat="1">
      <c r="H443" s="13"/>
    </row>
    <row r="444" spans="8:8" s="2" customFormat="1" ht="9.9499999999999993" customHeight="1">
      <c r="H444" s="13"/>
    </row>
    <row r="445" spans="8:8" s="2" customFormat="1" ht="9.9499999999999993" customHeight="1">
      <c r="H445" s="13"/>
    </row>
    <row r="446" spans="8:8" s="2" customFormat="1" ht="9.9499999999999993" customHeight="1">
      <c r="H446" s="13"/>
    </row>
    <row r="447" spans="8:8" s="2" customFormat="1" ht="9.9499999999999993" customHeight="1">
      <c r="H447" s="13"/>
    </row>
    <row r="448" spans="8:8" s="2" customFormat="1" ht="9.9499999999999993" customHeight="1">
      <c r="H448" s="13"/>
    </row>
    <row r="449" spans="8:8" s="2" customFormat="1" ht="9.9499999999999993" customHeight="1">
      <c r="H449" s="13"/>
    </row>
    <row r="450" spans="8:8" s="2" customFormat="1" ht="9.9499999999999993" customHeight="1">
      <c r="H450" s="13"/>
    </row>
    <row r="451" spans="8:8" s="2" customFormat="1">
      <c r="H451" s="13"/>
    </row>
    <row r="452" spans="8:8" s="2" customFormat="1" ht="9.9499999999999993" customHeight="1">
      <c r="H452" s="13"/>
    </row>
    <row r="453" spans="8:8" s="2" customFormat="1" ht="9.9499999999999993" customHeight="1">
      <c r="H453" s="13"/>
    </row>
    <row r="454" spans="8:8" s="2" customFormat="1" ht="9.9499999999999993" customHeight="1">
      <c r="H454" s="13"/>
    </row>
    <row r="455" spans="8:8" s="2" customFormat="1" ht="9.9499999999999993" customHeight="1">
      <c r="H455" s="13"/>
    </row>
    <row r="456" spans="8:8" s="2" customFormat="1">
      <c r="H456" s="13"/>
    </row>
    <row r="457" spans="8:8" s="2" customFormat="1">
      <c r="H457" s="13"/>
    </row>
    <row r="458" spans="8:8" s="2" customFormat="1">
      <c r="H458" s="13"/>
    </row>
    <row r="459" spans="8:8" s="2" customFormat="1">
      <c r="H459" s="13"/>
    </row>
    <row r="460" spans="8:8" s="2" customFormat="1" ht="9.9499999999999993" customHeight="1">
      <c r="H460" s="13"/>
    </row>
    <row r="461" spans="8:8" s="2" customFormat="1" ht="9.9499999999999993" customHeight="1">
      <c r="H461" s="13"/>
    </row>
    <row r="462" spans="8:8" s="2" customFormat="1" ht="9.9499999999999993" customHeight="1">
      <c r="H462" s="13"/>
    </row>
    <row r="463" spans="8:8" s="2" customFormat="1">
      <c r="H463" s="13"/>
    </row>
    <row r="464" spans="8:8" s="2" customFormat="1" ht="9.9499999999999993" customHeight="1">
      <c r="H464" s="13"/>
    </row>
    <row r="465" spans="8:8" s="2" customFormat="1" ht="9.9499999999999993" customHeight="1">
      <c r="H465" s="13"/>
    </row>
    <row r="466" spans="8:8" s="2" customFormat="1" ht="9.9499999999999993" customHeight="1">
      <c r="H466" s="13"/>
    </row>
    <row r="467" spans="8:8" s="2" customFormat="1">
      <c r="H467" s="13"/>
    </row>
    <row r="468" spans="8:8" s="2" customFormat="1" ht="9.9499999999999993" customHeight="1">
      <c r="H468" s="13"/>
    </row>
    <row r="469" spans="8:8" s="2" customFormat="1" ht="9.9499999999999993" customHeight="1">
      <c r="H469" s="13"/>
    </row>
    <row r="470" spans="8:8" s="2" customFormat="1" ht="9.9499999999999993" customHeight="1">
      <c r="H470" s="13"/>
    </row>
    <row r="471" spans="8:8" s="2" customFormat="1">
      <c r="H471" s="13"/>
    </row>
    <row r="472" spans="8:8" s="2" customFormat="1">
      <c r="H472" s="13"/>
    </row>
    <row r="473" spans="8:8" s="2" customFormat="1">
      <c r="H473" s="13"/>
    </row>
    <row r="474" spans="8:8" s="2" customFormat="1">
      <c r="H474" s="13"/>
    </row>
    <row r="475" spans="8:8" s="2" customFormat="1" ht="9.9499999999999993" customHeight="1">
      <c r="H475" s="13"/>
    </row>
    <row r="476" spans="8:8" s="2" customFormat="1" ht="9.9499999999999993" customHeight="1">
      <c r="H476" s="13"/>
    </row>
    <row r="477" spans="8:8" s="2" customFormat="1" ht="9.9499999999999993" customHeight="1">
      <c r="H477" s="13"/>
    </row>
    <row r="478" spans="8:8" s="2" customFormat="1">
      <c r="H478" s="13"/>
    </row>
    <row r="479" spans="8:8" s="2" customFormat="1" ht="9.9499999999999993" customHeight="1">
      <c r="H479" s="13"/>
    </row>
    <row r="480" spans="8:8" s="2" customFormat="1" ht="9.9499999999999993" customHeight="1">
      <c r="H480" s="13"/>
    </row>
    <row r="481" spans="8:8" s="2" customFormat="1" ht="9.9499999999999993" customHeight="1">
      <c r="H481" s="13"/>
    </row>
    <row r="482" spans="8:8" s="2" customFormat="1">
      <c r="H482" s="13"/>
    </row>
    <row r="483" spans="8:8" s="2" customFormat="1" ht="9.9499999999999993" customHeight="1">
      <c r="H483" s="13"/>
    </row>
    <row r="484" spans="8:8" s="2" customFormat="1" ht="9.9499999999999993" customHeight="1">
      <c r="H484" s="13"/>
    </row>
    <row r="485" spans="8:8" s="2" customFormat="1" ht="9.9499999999999993" customHeight="1">
      <c r="H485" s="13"/>
    </row>
    <row r="486" spans="8:8" s="2" customFormat="1">
      <c r="H486" s="13"/>
    </row>
    <row r="487" spans="8:8" s="2" customFormat="1" ht="9.9499999999999993" customHeight="1">
      <c r="H487" s="13"/>
    </row>
    <row r="488" spans="8:8" s="2" customFormat="1" ht="9.9499999999999993" customHeight="1">
      <c r="H488" s="13"/>
    </row>
    <row r="489" spans="8:8" s="2" customFormat="1" ht="9.9499999999999993" customHeight="1">
      <c r="H489" s="13"/>
    </row>
    <row r="490" spans="8:8" s="2" customFormat="1">
      <c r="H490" s="13"/>
    </row>
    <row r="491" spans="8:8" s="2" customFormat="1" ht="9.9499999999999993" customHeight="1">
      <c r="H491" s="13"/>
    </row>
    <row r="492" spans="8:8" s="2" customFormat="1" ht="9.9499999999999993" customHeight="1">
      <c r="H492" s="13"/>
    </row>
    <row r="493" spans="8:8" s="2" customFormat="1" ht="9.9499999999999993" customHeight="1">
      <c r="H493" s="13"/>
    </row>
    <row r="494" spans="8:8" s="2" customFormat="1">
      <c r="H494" s="13"/>
    </row>
    <row r="495" spans="8:8" s="2" customFormat="1" ht="9.9499999999999993" customHeight="1">
      <c r="H495" s="13"/>
    </row>
    <row r="496" spans="8:8" s="2" customFormat="1" ht="9.9499999999999993" customHeight="1">
      <c r="H496" s="13"/>
    </row>
    <row r="497" spans="8:8" s="2" customFormat="1" ht="9.9499999999999993" customHeight="1">
      <c r="H497" s="13"/>
    </row>
    <row r="498" spans="8:8" s="2" customFormat="1">
      <c r="H498" s="13"/>
    </row>
    <row r="499" spans="8:8" s="2" customFormat="1" ht="9.9499999999999993" customHeight="1">
      <c r="H499" s="13"/>
    </row>
    <row r="500" spans="8:8" s="2" customFormat="1" ht="9.9499999999999993" customHeight="1">
      <c r="H500" s="13"/>
    </row>
    <row r="501" spans="8:8" s="2" customFormat="1" ht="9.9499999999999993" customHeight="1">
      <c r="H501" s="13"/>
    </row>
    <row r="502" spans="8:8" s="2" customFormat="1">
      <c r="H502" s="13"/>
    </row>
    <row r="503" spans="8:8" s="2" customFormat="1" ht="9.9499999999999993" customHeight="1">
      <c r="H503" s="13"/>
    </row>
    <row r="504" spans="8:8" s="2" customFormat="1" ht="9.9499999999999993" customHeight="1">
      <c r="H504" s="13"/>
    </row>
    <row r="505" spans="8:8" s="2" customFormat="1" ht="9.9499999999999993" customHeight="1">
      <c r="H505" s="13"/>
    </row>
    <row r="506" spans="8:8" s="2" customFormat="1">
      <c r="H506" s="13"/>
    </row>
    <row r="507" spans="8:8" s="2" customFormat="1" ht="9.9499999999999993" customHeight="1">
      <c r="H507" s="13"/>
    </row>
    <row r="508" spans="8:8" s="2" customFormat="1" ht="9.9499999999999993" customHeight="1">
      <c r="H508" s="13"/>
    </row>
    <row r="509" spans="8:8" s="2" customFormat="1" ht="9.9499999999999993" customHeight="1">
      <c r="H509" s="13"/>
    </row>
    <row r="510" spans="8:8" s="2" customFormat="1">
      <c r="H510" s="13"/>
    </row>
    <row r="511" spans="8:8" s="2" customFormat="1" ht="9.9499999999999993" customHeight="1">
      <c r="H511" s="13"/>
    </row>
    <row r="512" spans="8:8" s="2" customFormat="1" ht="9.9499999999999993" customHeight="1">
      <c r="H512" s="13"/>
    </row>
    <row r="513" spans="1:8" s="2" customFormat="1" ht="9.9499999999999993" customHeight="1">
      <c r="H513" s="13"/>
    </row>
    <row r="514" spans="1:8" s="2" customFormat="1">
      <c r="H514" s="13"/>
    </row>
    <row r="515" spans="1:8" s="2" customFormat="1" ht="9.9499999999999993" customHeight="1">
      <c r="H515" s="13"/>
    </row>
    <row r="516" spans="1:8" s="2" customFormat="1" ht="9.9499999999999993" customHeight="1">
      <c r="H516" s="13"/>
    </row>
    <row r="517" spans="1:8" s="2" customFormat="1" ht="9.9499999999999993" customHeight="1">
      <c r="H517" s="13"/>
    </row>
    <row r="518" spans="1:8" s="2" customFormat="1">
      <c r="H518" s="13"/>
    </row>
    <row r="519" spans="1:8" s="2" customFormat="1" ht="9.9499999999999993" customHeight="1">
      <c r="H519" s="13"/>
    </row>
    <row r="520" spans="1:8" s="2" customFormat="1" ht="9.9499999999999993" customHeight="1">
      <c r="H520" s="13"/>
    </row>
    <row r="521" spans="1:8" s="2" customFormat="1" ht="9.9499999999999993" customHeight="1">
      <c r="H521" s="13"/>
    </row>
    <row r="522" spans="1:8" s="2" customFormat="1">
      <c r="H522" s="13"/>
    </row>
    <row r="523" spans="1:8" s="2" customFormat="1">
      <c r="H523" s="13"/>
    </row>
    <row r="524" spans="1:8" s="2" customFormat="1" ht="9.9499999999999993" customHeight="1">
      <c r="H524" s="13"/>
    </row>
    <row r="525" spans="1:8" s="2" customFormat="1" ht="9.9499999999999993" customHeight="1">
      <c r="H525" s="13"/>
    </row>
    <row r="526" spans="1:8" s="2" customFormat="1" ht="9.9499999999999993" customHeight="1">
      <c r="H526" s="13"/>
    </row>
    <row r="527" spans="1:8" s="2" customFormat="1">
      <c r="H527" s="13"/>
    </row>
    <row r="528" spans="1:8" s="2" customFormat="1" ht="7.5" customHeight="1">
      <c r="A528" s="3"/>
      <c r="B528" s="1"/>
      <c r="C528" s="4"/>
      <c r="D528" s="4"/>
      <c r="E528" s="4"/>
      <c r="F528" s="1"/>
      <c r="G528" s="1"/>
      <c r="H528" s="1"/>
    </row>
    <row r="529" spans="8:8" s="2" customFormat="1" ht="8.1" customHeight="1">
      <c r="H529" s="13"/>
    </row>
    <row r="530" spans="8:8" s="2" customFormat="1" ht="8.1" customHeight="1">
      <c r="H530" s="13"/>
    </row>
    <row r="531" spans="8:8" s="2" customFormat="1" ht="8.1" customHeight="1">
      <c r="H531" s="13"/>
    </row>
    <row r="532" spans="8:8" s="2" customFormat="1" ht="8.1" customHeight="1">
      <c r="H532" s="13"/>
    </row>
    <row r="533" spans="8:8" s="2" customFormat="1" ht="8.1" customHeight="1">
      <c r="H533" s="13"/>
    </row>
    <row r="534" spans="8:8" s="2" customFormat="1" ht="8.1" customHeight="1">
      <c r="H534" s="13"/>
    </row>
    <row r="535" spans="8:8" s="2" customFormat="1" ht="8.1" customHeight="1">
      <c r="H535" s="13"/>
    </row>
    <row r="536" spans="8:8" s="2" customFormat="1" ht="8.1" customHeight="1">
      <c r="H536" s="13"/>
    </row>
    <row r="537" spans="8:8" s="2" customFormat="1" ht="7.5" customHeight="1">
      <c r="H537" s="13"/>
    </row>
    <row r="538" spans="8:8" s="2" customFormat="1" ht="17.25" customHeight="1">
      <c r="H538" s="13"/>
    </row>
    <row r="539" spans="8:8" s="2" customFormat="1" ht="8.1" customHeight="1">
      <c r="H539" s="13"/>
    </row>
    <row r="540" spans="8:8" s="2" customFormat="1" ht="8.1" customHeight="1">
      <c r="H540" s="13"/>
    </row>
    <row r="541" spans="8:8" s="2" customFormat="1" ht="8.1" customHeight="1">
      <c r="H541" s="13"/>
    </row>
    <row r="542" spans="8:8" s="2" customFormat="1" ht="8.1" customHeight="1">
      <c r="H542" s="13"/>
    </row>
    <row r="543" spans="8:8" s="2" customFormat="1" ht="8.1" customHeight="1">
      <c r="H543" s="13"/>
    </row>
    <row r="544" spans="8:8" s="2" customFormat="1" ht="8.1" customHeight="1">
      <c r="H544" s="13"/>
    </row>
    <row r="545" spans="8:8" s="2" customFormat="1" ht="8.1" customHeight="1">
      <c r="H545" s="13"/>
    </row>
    <row r="546" spans="8:8" s="2" customFormat="1" ht="8.1" customHeight="1">
      <c r="H546" s="13"/>
    </row>
    <row r="547" spans="8:8" s="2" customFormat="1" ht="8.1" customHeight="1">
      <c r="H547" s="13"/>
    </row>
    <row r="548" spans="8:8" s="2" customFormat="1" ht="8.1" customHeight="1">
      <c r="H548" s="13"/>
    </row>
    <row r="549" spans="8:8" s="2" customFormat="1" ht="8.1" customHeight="1">
      <c r="H549" s="13"/>
    </row>
    <row r="550" spans="8:8" s="2" customFormat="1" ht="8.1" customHeight="1">
      <c r="H550" s="13"/>
    </row>
    <row r="551" spans="8:8" s="2" customFormat="1" ht="8.1" customHeight="1">
      <c r="H551" s="13"/>
    </row>
    <row r="552" spans="8:8" s="2" customFormat="1" ht="8.1" customHeight="1">
      <c r="H552" s="13"/>
    </row>
    <row r="553" spans="8:8" s="2" customFormat="1" ht="8.1" customHeight="1">
      <c r="H553" s="13"/>
    </row>
    <row r="554" spans="8:8" s="2" customFormat="1" ht="8.1" customHeight="1">
      <c r="H554" s="13"/>
    </row>
    <row r="555" spans="8:8" s="2" customFormat="1" ht="8.1" customHeight="1">
      <c r="H555" s="13"/>
    </row>
    <row r="556" spans="8:8" s="2" customFormat="1" ht="8.1" customHeight="1">
      <c r="H556" s="13"/>
    </row>
    <row r="557" spans="8:8" s="2" customFormat="1" ht="8.1" customHeight="1">
      <c r="H557" s="13"/>
    </row>
    <row r="558" spans="8:8" s="2" customFormat="1" ht="8.1" customHeight="1">
      <c r="H558" s="13"/>
    </row>
    <row r="559" spans="8:8" s="2" customFormat="1" ht="8.1" customHeight="1">
      <c r="H559" s="13"/>
    </row>
    <row r="560" spans="8:8" s="2" customFormat="1" ht="8.1" customHeight="1">
      <c r="H560" s="13"/>
    </row>
    <row r="561" spans="8:8" s="2" customFormat="1" ht="8.1" customHeight="1">
      <c r="H561" s="13"/>
    </row>
    <row r="562" spans="8:8" s="2" customFormat="1" ht="8.1" customHeight="1">
      <c r="H562" s="13"/>
    </row>
    <row r="563" spans="8:8" s="2" customFormat="1" ht="8.1" customHeight="1">
      <c r="H563" s="13"/>
    </row>
    <row r="564" spans="8:8" s="2" customFormat="1" ht="8.1" customHeight="1">
      <c r="H564" s="13"/>
    </row>
    <row r="565" spans="8:8" s="2" customFormat="1" ht="8.1" customHeight="1">
      <c r="H565" s="13"/>
    </row>
    <row r="566" spans="8:8" s="2" customFormat="1" ht="8.1" customHeight="1">
      <c r="H566" s="13"/>
    </row>
    <row r="567" spans="8:8" s="2" customFormat="1" ht="8.1" customHeight="1">
      <c r="H567" s="13"/>
    </row>
    <row r="568" spans="8:8" s="2" customFormat="1" ht="8.1" customHeight="1">
      <c r="H568" s="13"/>
    </row>
    <row r="569" spans="8:8" s="2" customFormat="1" ht="8.1" customHeight="1">
      <c r="H569" s="13"/>
    </row>
    <row r="570" spans="8:8" s="2" customFormat="1" ht="8.1" customHeight="1">
      <c r="H570" s="13"/>
    </row>
    <row r="571" spans="8:8" s="2" customFormat="1" ht="8.1" customHeight="1">
      <c r="H571" s="13"/>
    </row>
    <row r="572" spans="8:8" s="2" customFormat="1" ht="8.1" customHeight="1">
      <c r="H572" s="13"/>
    </row>
    <row r="573" spans="8:8" s="2" customFormat="1" ht="8.1" customHeight="1">
      <c r="H573" s="13"/>
    </row>
    <row r="574" spans="8:8" s="2" customFormat="1" ht="8.1" customHeight="1">
      <c r="H574" s="13"/>
    </row>
    <row r="575" spans="8:8" s="2" customFormat="1" ht="8.1" customHeight="1">
      <c r="H575" s="13"/>
    </row>
    <row r="576" spans="8:8" s="2" customFormat="1" ht="8.1" customHeight="1">
      <c r="H576" s="13"/>
    </row>
    <row r="577" spans="8:8" s="2" customFormat="1" ht="8.1" customHeight="1">
      <c r="H577" s="13"/>
    </row>
    <row r="578" spans="8:8" s="2" customFormat="1" ht="8.1" customHeight="1">
      <c r="H578" s="13"/>
    </row>
    <row r="579" spans="8:8" s="2" customFormat="1" ht="8.1" customHeight="1">
      <c r="H579" s="13"/>
    </row>
    <row r="580" spans="8:8" s="2" customFormat="1" ht="8.1" customHeight="1">
      <c r="H580" s="13"/>
    </row>
    <row r="581" spans="8:8" s="2" customFormat="1" ht="8.1" customHeight="1">
      <c r="H581" s="13"/>
    </row>
    <row r="582" spans="8:8" s="2" customFormat="1" ht="8.1" customHeight="1">
      <c r="H582" s="13"/>
    </row>
    <row r="583" spans="8:8" s="2" customFormat="1" ht="8.1" customHeight="1">
      <c r="H583" s="13"/>
    </row>
    <row r="584" spans="8:8" s="2" customFormat="1" ht="8.1" customHeight="1">
      <c r="H584" s="13"/>
    </row>
    <row r="585" spans="8:8" s="2" customFormat="1" ht="8.1" customHeight="1">
      <c r="H585" s="13"/>
    </row>
    <row r="586" spans="8:8" s="2" customFormat="1" ht="8.1" customHeight="1">
      <c r="H586" s="13"/>
    </row>
    <row r="587" spans="8:8" s="2" customFormat="1" ht="9.75" customHeight="1">
      <c r="H587" s="13"/>
    </row>
    <row r="588" spans="8:8" s="2" customFormat="1" ht="10.5" customHeight="1">
      <c r="H588" s="13"/>
    </row>
    <row r="589" spans="8:8" s="2" customFormat="1" ht="9" customHeight="1">
      <c r="H589" s="13"/>
    </row>
    <row r="590" spans="8:8" s="2" customFormat="1" ht="9" customHeight="1">
      <c r="H590" s="13"/>
    </row>
    <row r="591" spans="8:8" s="2" customFormat="1" ht="11.25" customHeight="1">
      <c r="H591" s="13"/>
    </row>
    <row r="592" spans="8:8" s="2" customFormat="1" ht="10.5" customHeight="1">
      <c r="H592" s="13"/>
    </row>
    <row r="593" spans="8:8" s="2" customFormat="1" ht="13.5" customHeight="1">
      <c r="H593" s="13"/>
    </row>
    <row r="594" spans="8:8" s="2" customFormat="1" ht="14.25" customHeight="1">
      <c r="H594" s="13"/>
    </row>
    <row r="595" spans="8:8" s="2" customFormat="1" ht="9.75" customHeight="1">
      <c r="H595" s="13"/>
    </row>
    <row r="596" spans="8:8" s="2" customFormat="1" ht="9" customHeight="1">
      <c r="H596" s="13"/>
    </row>
    <row r="597" spans="8:8" s="2" customFormat="1" ht="9" customHeight="1">
      <c r="H597" s="13"/>
    </row>
    <row r="598" spans="8:8" s="2" customFormat="1" ht="9.75" customHeight="1">
      <c r="H598" s="13"/>
    </row>
    <row r="599" spans="8:8" s="2" customFormat="1" ht="10.5" customHeight="1">
      <c r="H599" s="13"/>
    </row>
    <row r="600" spans="8:8" s="2" customFormat="1" ht="9.75" customHeight="1">
      <c r="H600" s="13"/>
    </row>
    <row r="601" spans="8:8" s="2" customFormat="1" ht="9" customHeight="1">
      <c r="H601" s="13"/>
    </row>
    <row r="602" spans="8:8" s="2" customFormat="1" ht="9" customHeight="1">
      <c r="H602" s="13"/>
    </row>
    <row r="603" spans="8:8" s="2" customFormat="1" ht="9" customHeight="1">
      <c r="H603" s="13"/>
    </row>
    <row r="604" spans="8:8" s="2" customFormat="1" ht="11.25" customHeight="1">
      <c r="H604" s="13"/>
    </row>
    <row r="605" spans="8:8" s="2" customFormat="1" ht="9.75" customHeight="1">
      <c r="H605" s="13"/>
    </row>
    <row r="606" spans="8:8" s="2" customFormat="1" ht="10.5" customHeight="1">
      <c r="H606" s="13"/>
    </row>
    <row r="607" spans="8:8" s="2" customFormat="1" ht="11.25" customHeight="1">
      <c r="H607" s="13"/>
    </row>
    <row r="608" spans="8:8" s="2" customFormat="1" ht="9.75" customHeight="1">
      <c r="H608" s="13"/>
    </row>
    <row r="609" spans="8:8" s="2" customFormat="1" ht="10.5" customHeight="1">
      <c r="H609" s="13"/>
    </row>
    <row r="610" spans="8:8" s="2" customFormat="1" ht="11.25" customHeight="1">
      <c r="H610" s="13"/>
    </row>
    <row r="611" spans="8:8" s="2" customFormat="1" ht="8.1" customHeight="1">
      <c r="H611" s="13"/>
    </row>
    <row r="612" spans="8:8" s="2" customFormat="1" ht="8.1" customHeight="1">
      <c r="H612" s="13"/>
    </row>
    <row r="613" spans="8:8" s="2" customFormat="1" ht="8.1" customHeight="1">
      <c r="H613" s="13"/>
    </row>
    <row r="614" spans="8:8" s="2" customFormat="1" ht="8.1" customHeight="1">
      <c r="H614" s="13"/>
    </row>
    <row r="615" spans="8:8" s="2" customFormat="1" ht="8.1" customHeight="1">
      <c r="H615" s="13"/>
    </row>
    <row r="616" spans="8:8" s="2" customFormat="1" ht="8.1" customHeight="1">
      <c r="H616" s="13"/>
    </row>
    <row r="617" spans="8:8" s="2" customFormat="1" ht="8.1" customHeight="1">
      <c r="H617" s="13"/>
    </row>
    <row r="618" spans="8:8" s="2" customFormat="1" ht="8.1" customHeight="1">
      <c r="H618" s="13"/>
    </row>
    <row r="619" spans="8:8" s="2" customFormat="1" ht="8.1" customHeight="1">
      <c r="H619" s="13"/>
    </row>
    <row r="620" spans="8:8" s="2" customFormat="1" ht="8.1" customHeight="1">
      <c r="H620" s="13"/>
    </row>
    <row r="621" spans="8:8" s="2" customFormat="1" ht="8.1" customHeight="1">
      <c r="H621" s="13"/>
    </row>
    <row r="622" spans="8:8" s="2" customFormat="1" ht="8.1" customHeight="1">
      <c r="H622" s="13"/>
    </row>
    <row r="623" spans="8:8" s="2" customFormat="1" ht="8.1" customHeight="1">
      <c r="H623" s="13"/>
    </row>
    <row r="624" spans="8:8" s="2" customFormat="1" ht="8.1" customHeight="1">
      <c r="H624" s="13"/>
    </row>
    <row r="625" spans="8:8" s="2" customFormat="1" ht="8.1" customHeight="1">
      <c r="H625" s="13"/>
    </row>
    <row r="626" spans="8:8" s="2" customFormat="1" ht="8.1" customHeight="1">
      <c r="H626" s="13"/>
    </row>
    <row r="627" spans="8:8" s="2" customFormat="1" ht="8.1" customHeight="1">
      <c r="H627" s="13"/>
    </row>
    <row r="628" spans="8:8" s="2" customFormat="1" ht="8.1" customHeight="1">
      <c r="H628" s="13"/>
    </row>
    <row r="629" spans="8:8" s="2" customFormat="1" ht="8.1" customHeight="1">
      <c r="H629" s="13"/>
    </row>
    <row r="630" spans="8:8" s="2" customFormat="1" ht="8.1" customHeight="1">
      <c r="H630" s="13"/>
    </row>
    <row r="631" spans="8:8" s="2" customFormat="1" ht="8.1" customHeight="1">
      <c r="H631" s="13"/>
    </row>
    <row r="632" spans="8:8" s="2" customFormat="1" ht="8.1" customHeight="1">
      <c r="H632" s="13"/>
    </row>
    <row r="633" spans="8:8" s="2" customFormat="1" ht="8.1" customHeight="1">
      <c r="H633" s="13"/>
    </row>
    <row r="634" spans="8:8" s="2" customFormat="1" ht="8.1" customHeight="1">
      <c r="H634" s="13"/>
    </row>
    <row r="635" spans="8:8" s="2" customFormat="1" ht="8.1" customHeight="1">
      <c r="H635" s="13"/>
    </row>
    <row r="636" spans="8:8" s="2" customFormat="1" ht="8.1" customHeight="1">
      <c r="H636" s="13"/>
    </row>
    <row r="637" spans="8:8" s="2" customFormat="1" ht="8.1" customHeight="1">
      <c r="H637" s="13"/>
    </row>
    <row r="638" spans="8:8" s="2" customFormat="1" ht="8.1" customHeight="1">
      <c r="H638" s="13"/>
    </row>
    <row r="639" spans="8:8" s="2" customFormat="1" ht="8.1" customHeight="1">
      <c r="H639" s="13"/>
    </row>
    <row r="640" spans="8:8" s="2" customFormat="1" ht="8.1" customHeight="1">
      <c r="H640" s="13"/>
    </row>
    <row r="641" spans="8:8" s="2" customFormat="1" ht="8.1" customHeight="1">
      <c r="H641" s="13"/>
    </row>
    <row r="642" spans="8:8" s="2" customFormat="1" ht="8.1" customHeight="1">
      <c r="H642" s="13"/>
    </row>
    <row r="643" spans="8:8" s="2" customFormat="1" ht="8.1" customHeight="1">
      <c r="H643" s="13"/>
    </row>
    <row r="644" spans="8:8" s="2" customFormat="1" ht="8.1" customHeight="1">
      <c r="H644" s="13"/>
    </row>
    <row r="645" spans="8:8" s="2" customFormat="1" ht="8.1" customHeight="1">
      <c r="H645" s="13"/>
    </row>
    <row r="646" spans="8:8" s="2" customFormat="1" ht="8.1" customHeight="1">
      <c r="H646" s="13"/>
    </row>
    <row r="647" spans="8:8" s="2" customFormat="1" ht="8.1" customHeight="1">
      <c r="H647" s="13"/>
    </row>
    <row r="648" spans="8:8" s="2" customFormat="1" ht="8.1" customHeight="1">
      <c r="H648" s="13"/>
    </row>
    <row r="649" spans="8:8" s="2" customFormat="1" ht="8.1" customHeight="1">
      <c r="H649" s="13"/>
    </row>
    <row r="650" spans="8:8" s="2" customFormat="1" ht="8.1" customHeight="1">
      <c r="H650" s="13"/>
    </row>
    <row r="651" spans="8:8" s="2" customFormat="1" ht="8.1" customHeight="1">
      <c r="H651" s="13"/>
    </row>
    <row r="652" spans="8:8" s="2" customFormat="1" ht="8.1" customHeight="1">
      <c r="H652" s="13"/>
    </row>
    <row r="653" spans="8:8" s="2" customFormat="1" ht="8.1" customHeight="1">
      <c r="H653" s="13"/>
    </row>
    <row r="654" spans="8:8" s="2" customFormat="1" ht="8.1" customHeight="1">
      <c r="H654" s="13"/>
    </row>
    <row r="655" spans="8:8" s="2" customFormat="1" ht="8.1" customHeight="1">
      <c r="H655" s="13"/>
    </row>
    <row r="656" spans="8:8" s="2" customFormat="1" ht="8.1" customHeight="1">
      <c r="H656" s="13"/>
    </row>
    <row r="657" spans="8:8" s="2" customFormat="1" ht="8.1" customHeight="1">
      <c r="H657" s="13"/>
    </row>
    <row r="658" spans="8:8" s="2" customFormat="1" ht="8.1" customHeight="1">
      <c r="H658" s="13"/>
    </row>
    <row r="659" spans="8:8" s="2" customFormat="1" ht="8.1" customHeight="1">
      <c r="H659" s="13"/>
    </row>
    <row r="660" spans="8:8" s="2" customFormat="1" ht="8.1" customHeight="1">
      <c r="H660" s="13"/>
    </row>
    <row r="661" spans="8:8" s="2" customFormat="1" ht="8.1" customHeight="1">
      <c r="H661" s="13"/>
    </row>
    <row r="662" spans="8:8" s="2" customFormat="1" ht="8.1" customHeight="1">
      <c r="H662" s="13"/>
    </row>
    <row r="663" spans="8:8" s="2" customFormat="1" ht="8.1" customHeight="1">
      <c r="H663" s="13"/>
    </row>
    <row r="664" spans="8:8" s="2" customFormat="1" ht="8.1" customHeight="1">
      <c r="H664" s="13"/>
    </row>
    <row r="665" spans="8:8" s="2" customFormat="1" ht="11.25" customHeight="1">
      <c r="H665" s="13"/>
    </row>
    <row r="666" spans="8:8" s="2" customFormat="1" ht="11.25" customHeight="1">
      <c r="H666" s="13"/>
    </row>
    <row r="667" spans="8:8" s="2" customFormat="1" ht="8.1" customHeight="1">
      <c r="H667" s="13"/>
    </row>
    <row r="668" spans="8:8" s="2" customFormat="1" ht="8.1" customHeight="1">
      <c r="H668" s="13"/>
    </row>
    <row r="669" spans="8:8" s="2" customFormat="1" ht="8.1" customHeight="1">
      <c r="H669" s="13"/>
    </row>
    <row r="670" spans="8:8" s="2" customFormat="1" ht="8.1" customHeight="1">
      <c r="H670" s="13"/>
    </row>
    <row r="671" spans="8:8" s="2" customFormat="1" ht="8.1" customHeight="1">
      <c r="H671" s="13"/>
    </row>
    <row r="672" spans="8:8" s="2" customFormat="1" ht="8.1" customHeight="1">
      <c r="H672" s="13"/>
    </row>
    <row r="673" spans="8:8" s="2" customFormat="1" ht="8.1" customHeight="1">
      <c r="H673" s="13"/>
    </row>
    <row r="674" spans="8:8" s="2" customFormat="1" ht="8.1" customHeight="1">
      <c r="H674" s="13"/>
    </row>
    <row r="675" spans="8:8" s="2" customFormat="1" ht="8.1" customHeight="1">
      <c r="H675" s="13"/>
    </row>
    <row r="676" spans="8:8" s="2" customFormat="1" ht="8.1" customHeight="1">
      <c r="H676" s="13"/>
    </row>
    <row r="677" spans="8:8" s="2" customFormat="1" ht="8.1" customHeight="1">
      <c r="H677" s="13"/>
    </row>
    <row r="678" spans="8:8" s="2" customFormat="1" ht="8.1" customHeight="1">
      <c r="H678" s="13"/>
    </row>
    <row r="679" spans="8:8" s="2" customFormat="1" ht="9" customHeight="1">
      <c r="H679" s="13"/>
    </row>
    <row r="680" spans="8:8" s="2" customFormat="1" ht="9" customHeight="1">
      <c r="H680" s="13"/>
    </row>
    <row r="681" spans="8:8" s="2" customFormat="1" ht="9" customHeight="1">
      <c r="H681" s="13"/>
    </row>
    <row r="682" spans="8:8" s="2" customFormat="1" ht="9.75" customHeight="1">
      <c r="H682" s="13"/>
    </row>
    <row r="683" spans="8:8" s="2" customFormat="1" ht="8.1" customHeight="1">
      <c r="H683" s="13"/>
    </row>
    <row r="684" spans="8:8" s="2" customFormat="1" ht="8.1" customHeight="1">
      <c r="H684" s="13"/>
    </row>
    <row r="685" spans="8:8" s="2" customFormat="1" ht="8.1" customHeight="1">
      <c r="H685" s="13"/>
    </row>
    <row r="686" spans="8:8" s="2" customFormat="1" ht="8.1" customHeight="1">
      <c r="H686" s="13"/>
    </row>
    <row r="687" spans="8:8" s="2" customFormat="1" ht="8.1" customHeight="1">
      <c r="H687" s="13"/>
    </row>
    <row r="688" spans="8:8" s="2" customFormat="1" ht="8.1" customHeight="1">
      <c r="H688" s="13"/>
    </row>
    <row r="689" spans="8:8" s="2" customFormat="1" ht="8.1" customHeight="1">
      <c r="H689" s="13"/>
    </row>
    <row r="690" spans="8:8" s="2" customFormat="1" ht="8.1" customHeight="1">
      <c r="H690" s="13"/>
    </row>
    <row r="691" spans="8:8" s="2" customFormat="1" ht="8.1" customHeight="1">
      <c r="H691" s="13"/>
    </row>
    <row r="692" spans="8:8" s="2" customFormat="1" ht="8.1" customHeight="1">
      <c r="H692" s="13"/>
    </row>
    <row r="693" spans="8:8" s="2" customFormat="1" ht="8.1" customHeight="1">
      <c r="H693" s="13"/>
    </row>
    <row r="694" spans="8:8" s="2" customFormat="1" ht="8.1" customHeight="1">
      <c r="H694" s="13"/>
    </row>
    <row r="695" spans="8:8" s="2" customFormat="1" ht="8.1" customHeight="1">
      <c r="H695" s="13"/>
    </row>
    <row r="696" spans="8:8" s="2" customFormat="1" ht="8.1" customHeight="1">
      <c r="H696" s="13"/>
    </row>
    <row r="697" spans="8:8" s="2" customFormat="1" ht="9.75" customHeight="1">
      <c r="H697" s="13"/>
    </row>
    <row r="698" spans="8:8" s="2" customFormat="1" ht="9.75" customHeight="1">
      <c r="H698" s="13"/>
    </row>
    <row r="699" spans="8:8" s="2" customFormat="1" ht="8.1" customHeight="1">
      <c r="H699" s="13"/>
    </row>
    <row r="700" spans="8:8" s="2" customFormat="1" ht="8.1" customHeight="1">
      <c r="H700" s="13"/>
    </row>
    <row r="701" spans="8:8" s="2" customFormat="1" ht="8.1" customHeight="1">
      <c r="H701" s="13"/>
    </row>
    <row r="702" spans="8:8" s="2" customFormat="1" ht="8.1" customHeight="1">
      <c r="H702" s="13"/>
    </row>
    <row r="703" spans="8:8" s="2" customFormat="1" ht="8.1" customHeight="1">
      <c r="H703" s="13"/>
    </row>
    <row r="704" spans="8:8" s="2" customFormat="1" ht="8.1" customHeight="1">
      <c r="H704" s="13"/>
    </row>
    <row r="705" spans="8:8" s="2" customFormat="1" ht="8.1" customHeight="1">
      <c r="H705" s="13"/>
    </row>
    <row r="706" spans="8:8" s="2" customFormat="1" ht="8.1" customHeight="1">
      <c r="H706" s="13"/>
    </row>
    <row r="707" spans="8:8" s="2" customFormat="1" ht="8.1" customHeight="1">
      <c r="H707" s="13"/>
    </row>
    <row r="708" spans="8:8" s="2" customFormat="1" ht="8.1" customHeight="1">
      <c r="H708" s="13"/>
    </row>
    <row r="709" spans="8:8" s="2" customFormat="1" ht="8.1" customHeight="1">
      <c r="H709" s="13"/>
    </row>
    <row r="710" spans="8:8" s="2" customFormat="1" ht="8.1" customHeight="1">
      <c r="H710" s="13"/>
    </row>
    <row r="711" spans="8:8" s="2" customFormat="1" ht="8.1" customHeight="1">
      <c r="H711" s="13"/>
    </row>
    <row r="712" spans="8:8" s="2" customFormat="1" ht="8.1" customHeight="1">
      <c r="H712" s="13"/>
    </row>
    <row r="713" spans="8:8" s="2" customFormat="1" ht="8.1" customHeight="1">
      <c r="H713" s="13"/>
    </row>
    <row r="714" spans="8:8" s="2" customFormat="1" ht="8.1" customHeight="1">
      <c r="H714" s="13"/>
    </row>
    <row r="715" spans="8:8" s="2" customFormat="1" ht="8.1" customHeight="1">
      <c r="H715" s="13"/>
    </row>
    <row r="716" spans="8:8" s="2" customFormat="1" ht="8.1" customHeight="1">
      <c r="H716" s="13"/>
    </row>
    <row r="717" spans="8:8" s="2" customFormat="1" ht="8.1" customHeight="1">
      <c r="H717" s="13"/>
    </row>
    <row r="718" spans="8:8" s="2" customFormat="1" ht="8.1" customHeight="1">
      <c r="H718" s="13"/>
    </row>
    <row r="719" spans="8:8" s="2" customFormat="1" ht="8.1" customHeight="1">
      <c r="H719" s="13"/>
    </row>
    <row r="720" spans="8:8" s="2" customFormat="1" ht="8.1" customHeight="1">
      <c r="H720" s="13"/>
    </row>
    <row r="721" spans="8:8" s="2" customFormat="1" ht="8.1" customHeight="1">
      <c r="H721" s="13"/>
    </row>
    <row r="722" spans="8:8" s="2" customFormat="1" ht="8.1" customHeight="1">
      <c r="H722" s="13"/>
    </row>
    <row r="723" spans="8:8" s="2" customFormat="1" ht="8.1" customHeight="1">
      <c r="H723" s="13"/>
    </row>
    <row r="724" spans="8:8" s="2" customFormat="1" ht="8.1" customHeight="1">
      <c r="H724" s="13"/>
    </row>
    <row r="725" spans="8:8" s="2" customFormat="1" ht="8.1" customHeight="1">
      <c r="H725" s="13"/>
    </row>
    <row r="726" spans="8:8" s="2" customFormat="1" ht="8.1" customHeight="1">
      <c r="H726" s="13"/>
    </row>
    <row r="727" spans="8:8" s="2" customFormat="1" ht="8.1" customHeight="1">
      <c r="H727" s="13"/>
    </row>
    <row r="728" spans="8:8" s="2" customFormat="1" ht="8.1" customHeight="1">
      <c r="H728" s="13"/>
    </row>
    <row r="729" spans="8:8" s="2" customFormat="1" ht="8.1" customHeight="1">
      <c r="H729" s="13"/>
    </row>
    <row r="730" spans="8:8" s="2" customFormat="1" ht="8.1" customHeight="1">
      <c r="H730" s="13"/>
    </row>
    <row r="731" spans="8:8" s="2" customFormat="1" ht="8.1" customHeight="1">
      <c r="H731" s="13"/>
    </row>
    <row r="732" spans="8:8" s="2" customFormat="1" ht="8.1" customHeight="1">
      <c r="H732" s="13"/>
    </row>
    <row r="733" spans="8:8" s="2" customFormat="1" ht="8.1" customHeight="1">
      <c r="H733" s="13"/>
    </row>
    <row r="734" spans="8:8" s="2" customFormat="1" ht="8.1" customHeight="1">
      <c r="H734" s="13"/>
    </row>
    <row r="735" spans="8:8" s="2" customFormat="1" ht="8.1" customHeight="1">
      <c r="H735" s="13"/>
    </row>
    <row r="736" spans="8:8" s="2" customFormat="1" ht="8.1" customHeight="1">
      <c r="H736" s="13"/>
    </row>
    <row r="737" spans="8:8" s="2" customFormat="1" ht="8.1" customHeight="1">
      <c r="H737" s="13"/>
    </row>
    <row r="738" spans="8:8" s="2" customFormat="1" ht="8.1" customHeight="1">
      <c r="H738" s="13"/>
    </row>
    <row r="739" spans="8:8" s="2" customFormat="1" ht="8.1" customHeight="1">
      <c r="H739" s="13"/>
    </row>
    <row r="740" spans="8:8" s="2" customFormat="1" ht="8.1" customHeight="1">
      <c r="H740" s="13"/>
    </row>
    <row r="741" spans="8:8" s="2" customFormat="1" ht="8.1" customHeight="1">
      <c r="H741" s="13"/>
    </row>
    <row r="742" spans="8:8" s="2" customFormat="1" ht="8.1" customHeight="1">
      <c r="H742" s="13"/>
    </row>
    <row r="743" spans="8:8" s="2" customFormat="1" ht="8.1" customHeight="1">
      <c r="H743" s="13"/>
    </row>
    <row r="744" spans="8:8" s="2" customFormat="1" ht="8.1" customHeight="1">
      <c r="H744" s="13"/>
    </row>
    <row r="745" spans="8:8" s="2" customFormat="1" ht="8.1" customHeight="1">
      <c r="H745" s="13"/>
    </row>
    <row r="746" spans="8:8" s="2" customFormat="1" ht="8.25" customHeight="1">
      <c r="H746" s="13"/>
    </row>
    <row r="747" spans="8:8" s="2" customFormat="1">
      <c r="H747" s="13"/>
    </row>
    <row r="748" spans="8:8" s="2" customFormat="1">
      <c r="H748" s="13"/>
    </row>
    <row r="749" spans="8:8" s="2" customFormat="1">
      <c r="H749" s="13"/>
    </row>
    <row r="750" spans="8:8" s="2" customFormat="1" ht="9.75" customHeight="1">
      <c r="H750" s="13"/>
    </row>
    <row r="751" spans="8:8" s="2" customFormat="1" ht="8.1" customHeight="1">
      <c r="H751" s="13"/>
    </row>
    <row r="752" spans="8:8" s="2" customFormat="1" ht="9" customHeight="1">
      <c r="H752" s="13"/>
    </row>
    <row r="753" spans="8:8" s="2" customFormat="1" ht="10.5" customHeight="1">
      <c r="H753" s="13"/>
    </row>
    <row r="754" spans="8:8" s="2" customFormat="1" ht="11.25" customHeight="1">
      <c r="H754" s="13"/>
    </row>
    <row r="755" spans="8:8" s="2" customFormat="1" ht="8.1" customHeight="1">
      <c r="H755" s="13"/>
    </row>
    <row r="756" spans="8:8" s="2" customFormat="1" ht="8.1" customHeight="1">
      <c r="H756" s="13"/>
    </row>
    <row r="757" spans="8:8" s="2" customFormat="1" ht="8.25" customHeight="1">
      <c r="H757" s="13"/>
    </row>
    <row r="758" spans="8:8" s="2" customFormat="1" ht="12" customHeight="1">
      <c r="H758" s="13"/>
    </row>
    <row r="759" spans="8:8" s="2" customFormat="1" ht="8.1" customHeight="1">
      <c r="H759" s="13"/>
    </row>
    <row r="760" spans="8:8" s="2" customFormat="1" ht="8.1" customHeight="1">
      <c r="H760" s="13"/>
    </row>
    <row r="761" spans="8:8" s="2" customFormat="1" ht="9" customHeight="1">
      <c r="H761" s="13"/>
    </row>
    <row r="762" spans="8:8" s="2" customFormat="1" ht="10.5" customHeight="1">
      <c r="H762" s="13"/>
    </row>
    <row r="763" spans="8:8" s="2" customFormat="1">
      <c r="H763" s="13"/>
    </row>
    <row r="764" spans="8:8" s="2" customFormat="1">
      <c r="H764" s="13"/>
    </row>
    <row r="765" spans="8:8" s="2" customFormat="1">
      <c r="H765" s="13"/>
    </row>
    <row r="766" spans="8:8" s="2" customFormat="1">
      <c r="H766" s="13"/>
    </row>
    <row r="767" spans="8:8" s="2" customFormat="1">
      <c r="H767" s="13"/>
    </row>
    <row r="768" spans="8:8" s="2" customFormat="1">
      <c r="H768" s="13"/>
    </row>
    <row r="769" spans="8:8" s="2" customFormat="1">
      <c r="H769" s="13"/>
    </row>
    <row r="770" spans="8:8" s="2" customFormat="1">
      <c r="H770" s="13"/>
    </row>
    <row r="771" spans="8:8" s="2" customFormat="1">
      <c r="H771" s="13"/>
    </row>
    <row r="772" spans="8:8" s="2" customFormat="1">
      <c r="H772" s="13"/>
    </row>
    <row r="773" spans="8:8" s="2" customFormat="1">
      <c r="H773" s="13"/>
    </row>
    <row r="774" spans="8:8" s="2" customFormat="1">
      <c r="H774" s="13"/>
    </row>
    <row r="775" spans="8:8" s="2" customFormat="1">
      <c r="H775" s="13"/>
    </row>
    <row r="776" spans="8:8" s="2" customFormat="1">
      <c r="H776" s="13"/>
    </row>
    <row r="777" spans="8:8" s="2" customFormat="1">
      <c r="H777" s="13"/>
    </row>
    <row r="778" spans="8:8" s="2" customFormat="1">
      <c r="H778" s="13"/>
    </row>
    <row r="779" spans="8:8" s="2" customFormat="1">
      <c r="H779" s="13"/>
    </row>
    <row r="780" spans="8:8" s="2" customFormat="1">
      <c r="H780" s="13"/>
    </row>
    <row r="781" spans="8:8" s="2" customFormat="1">
      <c r="H781" s="13"/>
    </row>
    <row r="782" spans="8:8" s="2" customFormat="1">
      <c r="H782" s="13"/>
    </row>
    <row r="783" spans="8:8" s="2" customFormat="1">
      <c r="H783" s="13"/>
    </row>
    <row r="784" spans="8:8" s="2" customFormat="1">
      <c r="H784" s="13"/>
    </row>
    <row r="785" spans="8:8" s="2" customFormat="1">
      <c r="H785" s="13"/>
    </row>
    <row r="786" spans="8:8" s="2" customFormat="1">
      <c r="H786" s="13"/>
    </row>
    <row r="787" spans="8:8" s="2" customFormat="1">
      <c r="H787" s="13"/>
    </row>
    <row r="788" spans="8:8" s="2" customFormat="1">
      <c r="H788" s="13"/>
    </row>
    <row r="789" spans="8:8" s="2" customFormat="1">
      <c r="H789" s="13"/>
    </row>
    <row r="790" spans="8:8" s="2" customFormat="1">
      <c r="H790" s="13"/>
    </row>
    <row r="791" spans="8:8" s="2" customFormat="1">
      <c r="H791" s="13"/>
    </row>
    <row r="792" spans="8:8" s="2" customFormat="1">
      <c r="H792" s="13"/>
    </row>
    <row r="793" spans="8:8" s="2" customFormat="1">
      <c r="H793" s="13"/>
    </row>
    <row r="794" spans="8:8" s="2" customFormat="1">
      <c r="H794" s="13"/>
    </row>
    <row r="795" spans="8:8" s="2" customFormat="1">
      <c r="H795" s="13"/>
    </row>
    <row r="796" spans="8:8" s="2" customFormat="1">
      <c r="H796" s="13"/>
    </row>
    <row r="797" spans="8:8" s="2" customFormat="1">
      <c r="H797" s="13"/>
    </row>
    <row r="798" spans="8:8" s="2" customFormat="1">
      <c r="H798" s="13"/>
    </row>
    <row r="799" spans="8:8" s="2" customFormat="1">
      <c r="H799" s="13"/>
    </row>
    <row r="800" spans="8:8" s="2" customFormat="1">
      <c r="H800" s="13"/>
    </row>
    <row r="801" spans="8:8" s="2" customFormat="1">
      <c r="H801" s="13"/>
    </row>
    <row r="802" spans="8:8" s="2" customFormat="1">
      <c r="H802" s="13"/>
    </row>
    <row r="803" spans="8:8" s="2" customFormat="1">
      <c r="H803" s="13"/>
    </row>
    <row r="804" spans="8:8" s="2" customFormat="1">
      <c r="H804" s="13"/>
    </row>
    <row r="805" spans="8:8" s="2" customFormat="1">
      <c r="H805" s="13"/>
    </row>
    <row r="806" spans="8:8" s="2" customFormat="1">
      <c r="H806" s="13"/>
    </row>
    <row r="807" spans="8:8" s="2" customFormat="1">
      <c r="H807" s="13"/>
    </row>
    <row r="808" spans="8:8" s="2" customFormat="1">
      <c r="H808" s="13"/>
    </row>
    <row r="809" spans="8:8" s="2" customFormat="1">
      <c r="H809" s="13"/>
    </row>
    <row r="810" spans="8:8" s="2" customFormat="1">
      <c r="H810" s="13"/>
    </row>
    <row r="811" spans="8:8" s="2" customFormat="1">
      <c r="H811" s="13"/>
    </row>
    <row r="812" spans="8:8" s="2" customFormat="1">
      <c r="H812" s="13"/>
    </row>
    <row r="813" spans="8:8" s="2" customFormat="1">
      <c r="H813" s="13"/>
    </row>
    <row r="814" spans="8:8" s="2" customFormat="1">
      <c r="H814" s="13"/>
    </row>
    <row r="815" spans="8:8" s="2" customFormat="1">
      <c r="H815" s="13"/>
    </row>
    <row r="816" spans="8:8" s="2" customFormat="1">
      <c r="H816" s="13"/>
    </row>
    <row r="817" spans="8:8" s="2" customFormat="1">
      <c r="H817" s="13"/>
    </row>
    <row r="818" spans="8:8" s="2" customFormat="1">
      <c r="H818" s="13"/>
    </row>
    <row r="819" spans="8:8" s="2" customFormat="1">
      <c r="H819" s="13"/>
    </row>
    <row r="820" spans="8:8" s="2" customFormat="1">
      <c r="H820" s="13"/>
    </row>
    <row r="821" spans="8:8" s="2" customFormat="1">
      <c r="H821" s="13"/>
    </row>
    <row r="822" spans="8:8" s="2" customFormat="1">
      <c r="H822" s="13"/>
    </row>
    <row r="823" spans="8:8" s="2" customFormat="1">
      <c r="H823" s="13"/>
    </row>
    <row r="824" spans="8:8" s="2" customFormat="1">
      <c r="H824" s="13"/>
    </row>
    <row r="825" spans="8:8" s="2" customFormat="1">
      <c r="H825" s="13"/>
    </row>
    <row r="826" spans="8:8" s="2" customFormat="1">
      <c r="H826" s="13"/>
    </row>
    <row r="827" spans="8:8" s="2" customFormat="1">
      <c r="H827" s="13"/>
    </row>
    <row r="828" spans="8:8" s="2" customFormat="1">
      <c r="H828" s="13"/>
    </row>
    <row r="829" spans="8:8" s="2" customFormat="1">
      <c r="H829" s="13"/>
    </row>
    <row r="830" spans="8:8" s="2" customFormat="1">
      <c r="H830" s="13"/>
    </row>
    <row r="831" spans="8:8" s="2" customFormat="1">
      <c r="H831" s="13"/>
    </row>
    <row r="832" spans="8:8" s="2" customFormat="1">
      <c r="H832" s="13"/>
    </row>
    <row r="833" spans="8:8" s="2" customFormat="1">
      <c r="H833" s="13"/>
    </row>
    <row r="834" spans="8:8" s="2" customFormat="1">
      <c r="H834" s="13"/>
    </row>
    <row r="835" spans="8:8" s="2" customFormat="1">
      <c r="H835" s="13"/>
    </row>
    <row r="836" spans="8:8" s="2" customFormat="1">
      <c r="H836" s="13"/>
    </row>
    <row r="837" spans="8:8" s="2" customFormat="1">
      <c r="H837" s="13"/>
    </row>
    <row r="838" spans="8:8" s="2" customFormat="1">
      <c r="H838" s="13"/>
    </row>
    <row r="839" spans="8:8" s="2" customFormat="1">
      <c r="H839" s="13"/>
    </row>
    <row r="840" spans="8:8" s="2" customFormat="1">
      <c r="H840" s="13"/>
    </row>
    <row r="841" spans="8:8" s="2" customFormat="1">
      <c r="H841" s="13"/>
    </row>
    <row r="842" spans="8:8" s="2" customFormat="1">
      <c r="H842" s="13"/>
    </row>
    <row r="843" spans="8:8" s="2" customFormat="1">
      <c r="H843" s="13"/>
    </row>
    <row r="844" spans="8:8" s="2" customFormat="1">
      <c r="H844" s="13"/>
    </row>
    <row r="845" spans="8:8" s="2" customFormat="1">
      <c r="H845" s="13"/>
    </row>
    <row r="846" spans="8:8" s="2" customFormat="1">
      <c r="H846" s="13"/>
    </row>
    <row r="847" spans="8:8" s="2" customFormat="1">
      <c r="H847" s="13"/>
    </row>
    <row r="848" spans="8:8" s="2" customFormat="1">
      <c r="H848" s="13"/>
    </row>
    <row r="849" spans="8:8" s="2" customFormat="1">
      <c r="H849" s="13"/>
    </row>
    <row r="850" spans="8:8" s="2" customFormat="1">
      <c r="H850" s="13"/>
    </row>
    <row r="851" spans="8:8" s="2" customFormat="1">
      <c r="H851" s="13"/>
    </row>
    <row r="852" spans="8:8" s="2" customFormat="1">
      <c r="H852" s="13"/>
    </row>
    <row r="853" spans="8:8" s="2" customFormat="1">
      <c r="H853" s="13"/>
    </row>
    <row r="854" spans="8:8" s="2" customFormat="1">
      <c r="H854" s="13"/>
    </row>
    <row r="855" spans="8:8" s="2" customFormat="1">
      <c r="H855" s="13"/>
    </row>
    <row r="856" spans="8:8" s="2" customFormat="1">
      <c r="H856" s="13"/>
    </row>
    <row r="857" spans="8:8" s="2" customFormat="1">
      <c r="H857" s="13"/>
    </row>
    <row r="858" spans="8:8" s="2" customFormat="1">
      <c r="H858" s="13"/>
    </row>
    <row r="859" spans="8:8" s="2" customFormat="1">
      <c r="H859" s="13"/>
    </row>
    <row r="860" spans="8:8" s="2" customFormat="1">
      <c r="H860" s="13"/>
    </row>
    <row r="861" spans="8:8" s="2" customFormat="1">
      <c r="H861" s="13"/>
    </row>
    <row r="862" spans="8:8" s="2" customFormat="1">
      <c r="H862" s="13"/>
    </row>
    <row r="863" spans="8:8" s="2" customFormat="1">
      <c r="H863" s="13"/>
    </row>
    <row r="864" spans="8:8" s="2" customFormat="1">
      <c r="H864" s="13"/>
    </row>
    <row r="865" spans="8:8" s="2" customFormat="1">
      <c r="H865" s="13"/>
    </row>
    <row r="866" spans="8:8" s="2" customFormat="1">
      <c r="H866" s="13"/>
    </row>
    <row r="867" spans="8:8" s="2" customFormat="1">
      <c r="H867" s="13"/>
    </row>
    <row r="868" spans="8:8" s="2" customFormat="1">
      <c r="H868" s="13"/>
    </row>
    <row r="869" spans="8:8" s="2" customFormat="1">
      <c r="H869" s="13"/>
    </row>
    <row r="870" spans="8:8" s="2" customFormat="1">
      <c r="H870" s="13"/>
    </row>
    <row r="871" spans="8:8" s="2" customFormat="1">
      <c r="H871" s="13"/>
    </row>
    <row r="872" spans="8:8" s="2" customFormat="1">
      <c r="H872" s="13"/>
    </row>
    <row r="873" spans="8:8" s="2" customFormat="1">
      <c r="H873" s="13"/>
    </row>
    <row r="874" spans="8:8" s="2" customFormat="1">
      <c r="H874" s="13"/>
    </row>
    <row r="875" spans="8:8" s="2" customFormat="1">
      <c r="H875" s="13"/>
    </row>
    <row r="876" spans="8:8" s="2" customFormat="1">
      <c r="H876" s="13"/>
    </row>
    <row r="877" spans="8:8" s="2" customFormat="1">
      <c r="H877" s="13"/>
    </row>
    <row r="878" spans="8:8" s="2" customFormat="1">
      <c r="H878" s="13"/>
    </row>
    <row r="879" spans="8:8" s="2" customFormat="1">
      <c r="H879" s="13"/>
    </row>
    <row r="880" spans="8:8" s="2" customFormat="1">
      <c r="H880" s="13"/>
    </row>
    <row r="881" spans="8:8" s="2" customFormat="1">
      <c r="H881" s="13"/>
    </row>
    <row r="882" spans="8:8" s="2" customFormat="1">
      <c r="H882" s="13"/>
    </row>
    <row r="883" spans="8:8" s="2" customFormat="1">
      <c r="H883" s="13"/>
    </row>
    <row r="884" spans="8:8" s="2" customFormat="1">
      <c r="H884" s="13"/>
    </row>
    <row r="885" spans="8:8" s="2" customFormat="1">
      <c r="H885" s="13"/>
    </row>
    <row r="886" spans="8:8" s="2" customFormat="1">
      <c r="H886" s="13"/>
    </row>
    <row r="887" spans="8:8" s="2" customFormat="1">
      <c r="H887" s="13"/>
    </row>
    <row r="888" spans="8:8" s="2" customFormat="1">
      <c r="H888" s="13"/>
    </row>
    <row r="889" spans="8:8" s="2" customFormat="1">
      <c r="H889" s="13"/>
    </row>
    <row r="890" spans="8:8" s="2" customFormat="1">
      <c r="H890" s="13"/>
    </row>
    <row r="891" spans="8:8" s="2" customFormat="1">
      <c r="H891" s="13"/>
    </row>
    <row r="892" spans="8:8" s="2" customFormat="1">
      <c r="H892" s="13"/>
    </row>
    <row r="893" spans="8:8" s="2" customFormat="1">
      <c r="H893" s="13"/>
    </row>
    <row r="894" spans="8:8" s="2" customFormat="1">
      <c r="H894" s="13"/>
    </row>
    <row r="895" spans="8:8" s="2" customFormat="1">
      <c r="H895" s="13"/>
    </row>
    <row r="896" spans="8:8" s="2" customFormat="1">
      <c r="H896" s="13"/>
    </row>
    <row r="897" spans="8:8" s="2" customFormat="1">
      <c r="H897" s="13"/>
    </row>
    <row r="898" spans="8:8" s="2" customFormat="1">
      <c r="H898" s="13"/>
    </row>
    <row r="899" spans="8:8" s="2" customFormat="1">
      <c r="H899" s="13"/>
    </row>
    <row r="900" spans="8:8" s="2" customFormat="1">
      <c r="H900" s="13"/>
    </row>
    <row r="901" spans="8:8" s="2" customFormat="1">
      <c r="H901" s="13"/>
    </row>
    <row r="902" spans="8:8" s="2" customFormat="1">
      <c r="H902" s="13"/>
    </row>
    <row r="903" spans="8:8" s="2" customFormat="1">
      <c r="H903" s="13"/>
    </row>
    <row r="904" spans="8:8" s="2" customFormat="1">
      <c r="H904" s="13"/>
    </row>
    <row r="905" spans="8:8" s="2" customFormat="1">
      <c r="H905" s="13"/>
    </row>
    <row r="906" spans="8:8" s="2" customFormat="1">
      <c r="H906" s="13"/>
    </row>
    <row r="907" spans="8:8" s="2" customFormat="1">
      <c r="H907" s="13"/>
    </row>
    <row r="908" spans="8:8" s="2" customFormat="1">
      <c r="H908" s="13"/>
    </row>
    <row r="909" spans="8:8" s="2" customFormat="1">
      <c r="H909" s="13"/>
    </row>
    <row r="910" spans="8:8" s="2" customFormat="1">
      <c r="H910" s="13"/>
    </row>
    <row r="911" spans="8:8" s="2" customFormat="1">
      <c r="H911" s="13"/>
    </row>
    <row r="912" spans="8:8" s="2" customFormat="1">
      <c r="H912" s="13"/>
    </row>
    <row r="913" spans="8:8" s="2" customFormat="1">
      <c r="H913" s="13"/>
    </row>
    <row r="914" spans="8:8" s="2" customFormat="1">
      <c r="H914" s="13"/>
    </row>
    <row r="915" spans="8:8" s="2" customFormat="1">
      <c r="H915" s="13"/>
    </row>
    <row r="916" spans="8:8" s="2" customFormat="1">
      <c r="H916" s="13"/>
    </row>
    <row r="917" spans="8:8" s="2" customFormat="1">
      <c r="H917" s="13"/>
    </row>
    <row r="918" spans="8:8" s="2" customFormat="1">
      <c r="H918" s="13"/>
    </row>
    <row r="919" spans="8:8" s="2" customFormat="1">
      <c r="H919" s="13"/>
    </row>
    <row r="920" spans="8:8" s="2" customFormat="1">
      <c r="H920" s="13"/>
    </row>
    <row r="921" spans="8:8" s="2" customFormat="1">
      <c r="H921" s="13"/>
    </row>
    <row r="922" spans="8:8" s="2" customFormat="1">
      <c r="H922" s="13"/>
    </row>
    <row r="923" spans="8:8" s="2" customFormat="1">
      <c r="H923" s="13"/>
    </row>
    <row r="924" spans="8:8" s="2" customFormat="1">
      <c r="H924" s="13"/>
    </row>
    <row r="925" spans="8:8" s="2" customFormat="1">
      <c r="H925" s="13"/>
    </row>
    <row r="926" spans="8:8" s="2" customFormat="1">
      <c r="H926" s="13"/>
    </row>
    <row r="927" spans="8:8" s="2" customFormat="1">
      <c r="H927" s="13"/>
    </row>
    <row r="928" spans="8:8" s="2" customFormat="1">
      <c r="H928" s="13"/>
    </row>
    <row r="929" spans="8:8" s="2" customFormat="1">
      <c r="H929" s="13"/>
    </row>
    <row r="930" spans="8:8" s="2" customFormat="1">
      <c r="H930" s="13"/>
    </row>
    <row r="931" spans="8:8" s="2" customFormat="1">
      <c r="H931" s="13"/>
    </row>
    <row r="932" spans="8:8" s="2" customFormat="1">
      <c r="H932" s="13"/>
    </row>
    <row r="933" spans="8:8" s="2" customFormat="1">
      <c r="H933" s="13"/>
    </row>
    <row r="934" spans="8:8" s="2" customFormat="1">
      <c r="H934" s="13"/>
    </row>
    <row r="935" spans="8:8" s="2" customFormat="1">
      <c r="H935" s="13"/>
    </row>
    <row r="936" spans="8:8" s="2" customFormat="1">
      <c r="H936" s="13"/>
    </row>
    <row r="937" spans="8:8" s="2" customFormat="1">
      <c r="H937" s="13"/>
    </row>
    <row r="938" spans="8:8" s="2" customFormat="1">
      <c r="H938" s="13"/>
    </row>
    <row r="939" spans="8:8" s="2" customFormat="1">
      <c r="H939" s="13"/>
    </row>
    <row r="940" spans="8:8" s="2" customFormat="1">
      <c r="H940" s="13"/>
    </row>
    <row r="941" spans="8:8" s="2" customFormat="1">
      <c r="H941" s="13"/>
    </row>
    <row r="942" spans="8:8" s="2" customFormat="1">
      <c r="H942" s="13"/>
    </row>
    <row r="943" spans="8:8" s="2" customFormat="1">
      <c r="H943" s="13"/>
    </row>
    <row r="944" spans="8:8" s="2" customFormat="1">
      <c r="H944" s="13"/>
    </row>
    <row r="945" spans="8:8" s="2" customFormat="1">
      <c r="H945" s="13"/>
    </row>
    <row r="946" spans="8:8" s="2" customFormat="1">
      <c r="H946" s="13"/>
    </row>
    <row r="947" spans="8:8" s="2" customFormat="1">
      <c r="H947" s="13"/>
    </row>
    <row r="948" spans="8:8" s="2" customFormat="1">
      <c r="H948" s="13"/>
    </row>
    <row r="949" spans="8:8" s="2" customFormat="1">
      <c r="H949" s="13"/>
    </row>
    <row r="950" spans="8:8" s="2" customFormat="1">
      <c r="H950" s="13"/>
    </row>
    <row r="951" spans="8:8" s="2" customFormat="1">
      <c r="H951" s="13"/>
    </row>
    <row r="952" spans="8:8" s="2" customFormat="1">
      <c r="H952" s="13"/>
    </row>
    <row r="953" spans="8:8" s="2" customFormat="1">
      <c r="H953" s="13"/>
    </row>
    <row r="954" spans="8:8" s="2" customFormat="1">
      <c r="H954" s="13"/>
    </row>
    <row r="955" spans="8:8" s="2" customFormat="1">
      <c r="H955" s="13"/>
    </row>
    <row r="956" spans="8:8" s="2" customFormat="1">
      <c r="H956" s="13"/>
    </row>
    <row r="957" spans="8:8" s="2" customFormat="1">
      <c r="H957" s="13"/>
    </row>
    <row r="958" spans="8:8" s="2" customFormat="1">
      <c r="H958" s="13"/>
    </row>
    <row r="959" spans="8:8" s="2" customFormat="1">
      <c r="H959" s="13"/>
    </row>
    <row r="960" spans="8:8" s="2" customFormat="1">
      <c r="H960" s="13"/>
    </row>
    <row r="961" spans="8:8" s="2" customFormat="1">
      <c r="H961" s="13"/>
    </row>
    <row r="962" spans="8:8" s="2" customFormat="1">
      <c r="H962" s="13"/>
    </row>
    <row r="963" spans="8:8" s="2" customFormat="1">
      <c r="H963" s="13"/>
    </row>
    <row r="964" spans="8:8" s="2" customFormat="1">
      <c r="H964" s="13"/>
    </row>
    <row r="965" spans="8:8" s="2" customFormat="1">
      <c r="H965" s="13"/>
    </row>
    <row r="966" spans="8:8" s="2" customFormat="1">
      <c r="H966" s="13"/>
    </row>
    <row r="967" spans="8:8" s="2" customFormat="1">
      <c r="H967" s="13"/>
    </row>
    <row r="968" spans="8:8" s="2" customFormat="1">
      <c r="H968" s="13"/>
    </row>
    <row r="969" spans="8:8" s="2" customFormat="1">
      <c r="H969" s="13"/>
    </row>
    <row r="970" spans="8:8" s="2" customFormat="1">
      <c r="H970" s="13"/>
    </row>
    <row r="971" spans="8:8" s="2" customFormat="1">
      <c r="H971" s="13"/>
    </row>
    <row r="972" spans="8:8" s="2" customFormat="1">
      <c r="H972" s="13"/>
    </row>
    <row r="973" spans="8:8" s="2" customFormat="1">
      <c r="H973" s="13"/>
    </row>
    <row r="974" spans="8:8" s="2" customFormat="1">
      <c r="H974" s="13"/>
    </row>
    <row r="975" spans="8:8" s="2" customFormat="1">
      <c r="H975" s="13"/>
    </row>
    <row r="976" spans="8:8" s="2" customFormat="1">
      <c r="H976" s="13"/>
    </row>
    <row r="977" spans="8:8" s="2" customFormat="1">
      <c r="H977" s="13"/>
    </row>
    <row r="978" spans="8:8" s="2" customFormat="1">
      <c r="H978" s="13"/>
    </row>
    <row r="979" spans="8:8" s="2" customFormat="1">
      <c r="H979" s="13"/>
    </row>
    <row r="980" spans="8:8" s="2" customFormat="1">
      <c r="H980" s="13"/>
    </row>
    <row r="981" spans="8:8" s="2" customFormat="1">
      <c r="H981" s="13"/>
    </row>
    <row r="982" spans="8:8" s="2" customFormat="1">
      <c r="H982" s="13"/>
    </row>
    <row r="983" spans="8:8" s="2" customFormat="1">
      <c r="H983" s="13"/>
    </row>
    <row r="984" spans="8:8" s="2" customFormat="1">
      <c r="H984" s="13"/>
    </row>
    <row r="985" spans="8:8" s="2" customFormat="1">
      <c r="H985" s="13"/>
    </row>
    <row r="986" spans="8:8" s="2" customFormat="1">
      <c r="H986" s="13"/>
    </row>
    <row r="987" spans="8:8" s="2" customFormat="1">
      <c r="H987" s="13"/>
    </row>
    <row r="988" spans="8:8" s="2" customFormat="1">
      <c r="H988" s="13"/>
    </row>
    <row r="989" spans="8:8" s="2" customFormat="1">
      <c r="H989" s="13"/>
    </row>
    <row r="990" spans="8:8" s="2" customFormat="1">
      <c r="H990" s="13"/>
    </row>
    <row r="991" spans="8:8" s="2" customFormat="1">
      <c r="H991" s="13"/>
    </row>
    <row r="992" spans="8:8" s="2" customFormat="1">
      <c r="H992" s="13"/>
    </row>
    <row r="993" spans="8:8" s="2" customFormat="1">
      <c r="H993" s="13"/>
    </row>
    <row r="994" spans="8:8" s="2" customFormat="1">
      <c r="H994" s="13"/>
    </row>
    <row r="995" spans="8:8" s="2" customFormat="1">
      <c r="H995" s="13"/>
    </row>
    <row r="996" spans="8:8" s="2" customFormat="1">
      <c r="H996" s="13"/>
    </row>
    <row r="997" spans="8:8" s="2" customFormat="1">
      <c r="H997" s="13"/>
    </row>
    <row r="998" spans="8:8" s="2" customFormat="1">
      <c r="H998" s="13"/>
    </row>
    <row r="999" spans="8:8" s="2" customFormat="1">
      <c r="H999" s="13"/>
    </row>
    <row r="1000" spans="8:8" s="2" customFormat="1">
      <c r="H1000" s="13"/>
    </row>
    <row r="1001" spans="8:8" s="2" customFormat="1">
      <c r="H1001" s="13"/>
    </row>
    <row r="1002" spans="8:8" s="2" customFormat="1">
      <c r="H1002" s="13"/>
    </row>
    <row r="1003" spans="8:8" s="2" customFormat="1">
      <c r="H1003" s="13"/>
    </row>
    <row r="1004" spans="8:8" s="2" customFormat="1">
      <c r="H1004" s="13"/>
    </row>
    <row r="1005" spans="8:8" s="2" customFormat="1">
      <c r="H1005" s="13"/>
    </row>
    <row r="1006" spans="8:8" s="2" customFormat="1">
      <c r="H1006" s="13"/>
    </row>
    <row r="1007" spans="8:8" s="2" customFormat="1">
      <c r="H1007" s="13"/>
    </row>
    <row r="1008" spans="8:8" s="2" customFormat="1">
      <c r="H1008" s="13"/>
    </row>
    <row r="1009" spans="8:8" s="2" customFormat="1">
      <c r="H1009" s="13"/>
    </row>
    <row r="1010" spans="8:8" s="2" customFormat="1">
      <c r="H1010" s="13"/>
    </row>
    <row r="1011" spans="8:8" s="2" customFormat="1">
      <c r="H1011" s="13"/>
    </row>
    <row r="1012" spans="8:8" s="2" customFormat="1">
      <c r="H1012" s="13"/>
    </row>
    <row r="1013" spans="8:8" s="2" customFormat="1">
      <c r="H1013" s="13"/>
    </row>
    <row r="1014" spans="8:8" s="2" customFormat="1">
      <c r="H1014" s="13"/>
    </row>
    <row r="1015" spans="8:8" s="2" customFormat="1">
      <c r="H1015" s="13"/>
    </row>
    <row r="1016" spans="8:8" s="2" customFormat="1">
      <c r="H1016" s="13"/>
    </row>
    <row r="1017" spans="8:8" s="2" customFormat="1">
      <c r="H1017" s="13"/>
    </row>
    <row r="1018" spans="8:8" s="2" customFormat="1">
      <c r="H1018" s="13"/>
    </row>
    <row r="1019" spans="8:8" s="2" customFormat="1">
      <c r="H1019" s="13"/>
    </row>
    <row r="1020" spans="8:8" s="2" customFormat="1">
      <c r="H1020" s="13"/>
    </row>
    <row r="1021" spans="8:8" s="2" customFormat="1">
      <c r="H1021" s="13"/>
    </row>
    <row r="1022" spans="8:8" s="2" customFormat="1">
      <c r="H1022" s="13"/>
    </row>
    <row r="1023" spans="8:8" s="2" customFormat="1">
      <c r="H1023" s="13"/>
    </row>
    <row r="1024" spans="8:8" s="2" customFormat="1">
      <c r="H1024" s="13"/>
    </row>
    <row r="1025" spans="8:8" s="2" customFormat="1">
      <c r="H1025" s="13"/>
    </row>
    <row r="1026" spans="8:8" s="2" customFormat="1">
      <c r="H1026" s="13"/>
    </row>
    <row r="1027" spans="8:8" s="2" customFormat="1">
      <c r="H1027" s="13"/>
    </row>
    <row r="1028" spans="8:8" s="2" customFormat="1">
      <c r="H1028" s="13"/>
    </row>
    <row r="1029" spans="8:8" s="2" customFormat="1">
      <c r="H1029" s="13"/>
    </row>
    <row r="1030" spans="8:8" s="2" customFormat="1">
      <c r="H1030" s="13"/>
    </row>
    <row r="1031" spans="8:8" s="2" customFormat="1">
      <c r="H1031" s="13"/>
    </row>
    <row r="1032" spans="8:8" s="2" customFormat="1">
      <c r="H1032" s="13"/>
    </row>
    <row r="1033" spans="8:8" s="2" customFormat="1">
      <c r="H1033" s="13"/>
    </row>
    <row r="1034" spans="8:8" s="2" customFormat="1">
      <c r="H1034" s="13"/>
    </row>
    <row r="1035" spans="8:8" s="2" customFormat="1">
      <c r="H1035" s="13"/>
    </row>
    <row r="1036" spans="8:8" s="2" customFormat="1">
      <c r="H1036" s="13"/>
    </row>
    <row r="1037" spans="8:8" s="2" customFormat="1">
      <c r="H1037" s="13"/>
    </row>
    <row r="1038" spans="8:8" s="2" customFormat="1">
      <c r="H1038" s="13"/>
    </row>
    <row r="1039" spans="8:8" s="2" customFormat="1">
      <c r="H1039" s="13"/>
    </row>
    <row r="1040" spans="8:8" s="2" customFormat="1">
      <c r="H1040" s="13"/>
    </row>
    <row r="1041" spans="8:8" s="2" customFormat="1">
      <c r="H1041" s="13"/>
    </row>
    <row r="1042" spans="8:8" s="2" customFormat="1">
      <c r="H1042" s="13"/>
    </row>
    <row r="1043" spans="8:8" s="2" customFormat="1">
      <c r="H1043" s="13"/>
    </row>
    <row r="1044" spans="8:8" s="2" customFormat="1">
      <c r="H1044" s="13"/>
    </row>
    <row r="1045" spans="8:8" s="2" customFormat="1">
      <c r="H1045" s="13"/>
    </row>
    <row r="1046" spans="8:8" s="2" customFormat="1">
      <c r="H1046" s="13"/>
    </row>
    <row r="1047" spans="8:8" s="2" customFormat="1">
      <c r="H1047" s="13"/>
    </row>
    <row r="1048" spans="8:8" s="2" customFormat="1">
      <c r="H1048" s="13"/>
    </row>
    <row r="1049" spans="8:8" s="2" customFormat="1">
      <c r="H1049" s="13"/>
    </row>
    <row r="1050" spans="8:8" s="2" customFormat="1">
      <c r="H1050" s="13"/>
    </row>
    <row r="1051" spans="8:8" s="2" customFormat="1">
      <c r="H1051" s="13"/>
    </row>
    <row r="1052" spans="8:8" s="2" customFormat="1">
      <c r="H1052" s="13"/>
    </row>
    <row r="1053" spans="8:8" s="2" customFormat="1">
      <c r="H1053" s="13"/>
    </row>
    <row r="1054" spans="8:8" s="2" customFormat="1">
      <c r="H1054" s="13"/>
    </row>
    <row r="1055" spans="8:8" s="2" customFormat="1">
      <c r="H1055" s="13"/>
    </row>
    <row r="1056" spans="8:8" s="2" customFormat="1">
      <c r="H1056" s="13"/>
    </row>
    <row r="1057" spans="8:8" s="2" customFormat="1">
      <c r="H1057" s="13"/>
    </row>
    <row r="1058" spans="8:8" s="2" customFormat="1">
      <c r="H1058" s="13"/>
    </row>
    <row r="1059" spans="8:8" s="2" customFormat="1">
      <c r="H1059" s="13"/>
    </row>
    <row r="1060" spans="8:8" s="2" customFormat="1">
      <c r="H1060" s="13"/>
    </row>
    <row r="1061" spans="8:8" s="2" customFormat="1">
      <c r="H1061" s="13"/>
    </row>
    <row r="1062" spans="8:8" s="2" customFormat="1">
      <c r="H1062" s="13"/>
    </row>
    <row r="1063" spans="8:8" s="2" customFormat="1">
      <c r="H1063" s="13"/>
    </row>
    <row r="1064" spans="8:8" s="2" customFormat="1">
      <c r="H1064" s="13"/>
    </row>
    <row r="1065" spans="8:8" s="2" customFormat="1">
      <c r="H1065" s="13"/>
    </row>
    <row r="1066" spans="8:8" s="2" customFormat="1">
      <c r="H1066" s="13"/>
    </row>
    <row r="1067" spans="8:8" s="2" customFormat="1">
      <c r="H1067" s="13"/>
    </row>
    <row r="1068" spans="8:8" s="2" customFormat="1">
      <c r="H1068" s="13"/>
    </row>
    <row r="1069" spans="8:8" s="2" customFormat="1">
      <c r="H1069" s="13"/>
    </row>
    <row r="1070" spans="8:8" s="2" customFormat="1">
      <c r="H1070" s="13"/>
    </row>
    <row r="1071" spans="8:8" s="2" customFormat="1">
      <c r="H1071" s="13"/>
    </row>
    <row r="1072" spans="8:8" s="2" customFormat="1">
      <c r="H1072" s="13"/>
    </row>
    <row r="1073" spans="8:8" s="2" customFormat="1">
      <c r="H1073" s="13"/>
    </row>
    <row r="1074" spans="8:8" s="2" customFormat="1">
      <c r="H1074" s="13"/>
    </row>
    <row r="1075" spans="8:8" s="2" customFormat="1">
      <c r="H1075" s="13"/>
    </row>
    <row r="1076" spans="8:8" s="2" customFormat="1">
      <c r="H1076" s="13"/>
    </row>
    <row r="1077" spans="8:8" s="2" customFormat="1">
      <c r="H1077" s="13"/>
    </row>
    <row r="1078" spans="8:8" s="2" customFormat="1">
      <c r="H1078" s="13"/>
    </row>
    <row r="1079" spans="8:8" s="2" customFormat="1">
      <c r="H1079" s="13"/>
    </row>
    <row r="1080" spans="8:8" s="2" customFormat="1">
      <c r="H1080" s="13"/>
    </row>
    <row r="1081" spans="8:8" s="2" customFormat="1">
      <c r="H1081" s="13"/>
    </row>
    <row r="1082" spans="8:8" s="2" customFormat="1">
      <c r="H1082" s="13"/>
    </row>
    <row r="1083" spans="8:8" s="2" customFormat="1">
      <c r="H1083" s="13"/>
    </row>
    <row r="1084" spans="8:8" s="2" customFormat="1">
      <c r="H1084" s="13"/>
    </row>
    <row r="1085" spans="8:8" s="2" customFormat="1">
      <c r="H1085" s="13"/>
    </row>
    <row r="1086" spans="8:8" s="2" customFormat="1">
      <c r="H1086" s="13"/>
    </row>
    <row r="1087" spans="8:8" s="2" customFormat="1">
      <c r="H1087" s="13"/>
    </row>
    <row r="1088" spans="8:8" s="2" customFormat="1">
      <c r="H1088" s="13"/>
    </row>
    <row r="1089" spans="8:8" s="2" customFormat="1">
      <c r="H1089" s="13"/>
    </row>
    <row r="1090" spans="8:8" s="2" customFormat="1">
      <c r="H1090" s="13"/>
    </row>
    <row r="1091" spans="8:8" s="2" customFormat="1">
      <c r="H1091" s="13"/>
    </row>
    <row r="1092" spans="8:8" s="2" customFormat="1">
      <c r="H1092" s="13"/>
    </row>
    <row r="1093" spans="8:8" s="2" customFormat="1">
      <c r="H1093" s="13"/>
    </row>
    <row r="1094" spans="8:8" s="2" customFormat="1">
      <c r="H1094" s="13"/>
    </row>
    <row r="1095" spans="8:8" s="2" customFormat="1">
      <c r="H1095" s="13"/>
    </row>
    <row r="1096" spans="8:8" s="2" customFormat="1">
      <c r="H1096" s="13"/>
    </row>
    <row r="1097" spans="8:8" s="2" customFormat="1">
      <c r="H1097" s="13"/>
    </row>
    <row r="1098" spans="8:8" s="2" customFormat="1">
      <c r="H1098" s="13"/>
    </row>
    <row r="1099" spans="8:8" s="2" customFormat="1">
      <c r="H1099" s="13"/>
    </row>
    <row r="1100" spans="8:8" s="2" customFormat="1">
      <c r="H1100" s="13"/>
    </row>
    <row r="1101" spans="8:8" s="2" customFormat="1">
      <c r="H1101" s="13"/>
    </row>
    <row r="1102" spans="8:8" s="2" customFormat="1">
      <c r="H1102" s="13"/>
    </row>
    <row r="1103" spans="8:8" s="2" customFormat="1">
      <c r="H1103" s="13"/>
    </row>
    <row r="1104" spans="8:8" s="2" customFormat="1">
      <c r="H1104" s="13"/>
    </row>
    <row r="1105" spans="8:8" s="2" customFormat="1">
      <c r="H1105" s="13"/>
    </row>
    <row r="1106" spans="8:8" s="2" customFormat="1">
      <c r="H1106" s="13"/>
    </row>
    <row r="1107" spans="8:8" s="2" customFormat="1">
      <c r="H1107" s="13"/>
    </row>
    <row r="1108" spans="8:8" s="2" customFormat="1">
      <c r="H1108" s="13"/>
    </row>
    <row r="1109" spans="8:8" s="2" customFormat="1">
      <c r="H1109" s="13"/>
    </row>
    <row r="1110" spans="8:8" s="2" customFormat="1">
      <c r="H1110" s="13"/>
    </row>
    <row r="1111" spans="8:8" s="2" customFormat="1">
      <c r="H1111" s="13"/>
    </row>
    <row r="1112" spans="8:8" s="2" customFormat="1">
      <c r="H1112" s="13"/>
    </row>
    <row r="1113" spans="8:8" s="2" customFormat="1">
      <c r="H1113" s="13"/>
    </row>
    <row r="1114" spans="8:8" s="2" customFormat="1">
      <c r="H1114" s="13"/>
    </row>
    <row r="1115" spans="8:8" s="2" customFormat="1">
      <c r="H1115" s="13"/>
    </row>
    <row r="1116" spans="8:8" s="2" customFormat="1">
      <c r="H1116" s="13"/>
    </row>
    <row r="1117" spans="8:8" s="2" customFormat="1">
      <c r="H1117" s="13"/>
    </row>
    <row r="1118" spans="8:8" s="2" customFormat="1">
      <c r="H1118" s="13"/>
    </row>
    <row r="1119" spans="8:8" s="2" customFormat="1">
      <c r="H1119" s="13"/>
    </row>
    <row r="1120" spans="8:8" s="2" customFormat="1">
      <c r="H1120" s="13"/>
    </row>
    <row r="1121" spans="8:8" s="2" customFormat="1">
      <c r="H1121" s="13"/>
    </row>
    <row r="1122" spans="8:8" s="2" customFormat="1">
      <c r="H1122" s="13"/>
    </row>
    <row r="1123" spans="8:8" s="2" customFormat="1">
      <c r="H1123" s="13"/>
    </row>
    <row r="1124" spans="8:8" s="2" customFormat="1">
      <c r="H1124" s="13"/>
    </row>
    <row r="1125" spans="8:8" s="2" customFormat="1">
      <c r="H1125" s="13"/>
    </row>
    <row r="1126" spans="8:8" s="2" customFormat="1">
      <c r="H1126" s="13"/>
    </row>
    <row r="1127" spans="8:8" s="2" customFormat="1">
      <c r="H1127" s="13"/>
    </row>
    <row r="1128" spans="8:8" s="2" customFormat="1">
      <c r="H1128" s="13"/>
    </row>
    <row r="1129" spans="8:8" s="2" customFormat="1">
      <c r="H1129" s="13"/>
    </row>
    <row r="1130" spans="8:8" s="2" customFormat="1">
      <c r="H1130" s="13"/>
    </row>
    <row r="1131" spans="8:8" s="2" customFormat="1">
      <c r="H1131" s="13"/>
    </row>
    <row r="1132" spans="8:8" s="2" customFormat="1">
      <c r="H1132" s="13"/>
    </row>
    <row r="1133" spans="8:8" s="2" customFormat="1">
      <c r="H1133" s="13"/>
    </row>
    <row r="1134" spans="8:8" s="2" customFormat="1">
      <c r="H1134" s="13"/>
    </row>
    <row r="1135" spans="8:8" s="2" customFormat="1">
      <c r="H1135" s="13"/>
    </row>
    <row r="1136" spans="8:8" s="2" customFormat="1">
      <c r="H1136" s="13"/>
    </row>
    <row r="1137" spans="8:8" s="2" customFormat="1">
      <c r="H1137" s="13"/>
    </row>
    <row r="1138" spans="8:8" s="2" customFormat="1">
      <c r="H1138" s="13"/>
    </row>
    <row r="1139" spans="8:8" s="2" customFormat="1">
      <c r="H1139" s="13"/>
    </row>
    <row r="1140" spans="8:8" s="2" customFormat="1">
      <c r="H1140" s="13"/>
    </row>
    <row r="1141" spans="8:8" s="2" customFormat="1">
      <c r="H1141" s="13"/>
    </row>
    <row r="1142" spans="8:8" s="2" customFormat="1">
      <c r="H1142" s="13"/>
    </row>
    <row r="1143" spans="8:8" s="2" customFormat="1">
      <c r="H1143" s="13"/>
    </row>
    <row r="1144" spans="8:8" s="2" customFormat="1">
      <c r="H1144" s="13"/>
    </row>
    <row r="1145" spans="8:8" s="2" customFormat="1">
      <c r="H1145" s="13"/>
    </row>
    <row r="1146" spans="8:8" s="2" customFormat="1">
      <c r="H1146" s="13"/>
    </row>
    <row r="1147" spans="8:8" s="2" customFormat="1">
      <c r="H1147" s="13"/>
    </row>
    <row r="1148" spans="8:8" s="2" customFormat="1">
      <c r="H1148" s="13"/>
    </row>
    <row r="1149" spans="8:8" s="2" customFormat="1">
      <c r="H1149" s="13"/>
    </row>
    <row r="1150" spans="8:8" s="2" customFormat="1">
      <c r="H1150" s="13"/>
    </row>
    <row r="1151" spans="8:8" s="2" customFormat="1">
      <c r="H1151" s="13"/>
    </row>
    <row r="1152" spans="8:8" s="2" customFormat="1">
      <c r="H1152" s="13"/>
    </row>
    <row r="1153" spans="8:8" s="2" customFormat="1">
      <c r="H1153" s="13"/>
    </row>
    <row r="1154" spans="8:8" s="2" customFormat="1">
      <c r="H1154" s="13"/>
    </row>
    <row r="1155" spans="8:8" s="2" customFormat="1">
      <c r="H1155" s="13"/>
    </row>
    <row r="1156" spans="8:8" s="2" customFormat="1">
      <c r="H1156" s="13"/>
    </row>
    <row r="1157" spans="8:8" s="2" customFormat="1">
      <c r="H1157" s="13"/>
    </row>
    <row r="1158" spans="8:8" s="2" customFormat="1">
      <c r="H1158" s="13"/>
    </row>
    <row r="1159" spans="8:8" s="2" customFormat="1">
      <c r="H1159" s="13"/>
    </row>
    <row r="1160" spans="8:8" s="2" customFormat="1">
      <c r="H1160" s="13"/>
    </row>
    <row r="1161" spans="8:8" s="2" customFormat="1">
      <c r="H1161" s="13"/>
    </row>
    <row r="1162" spans="8:8" s="2" customFormat="1">
      <c r="H1162" s="13"/>
    </row>
    <row r="1163" spans="8:8" s="2" customFormat="1">
      <c r="H1163" s="13"/>
    </row>
    <row r="1164" spans="8:8" s="2" customFormat="1">
      <c r="H1164" s="13"/>
    </row>
    <row r="1165" spans="8:8" s="2" customFormat="1">
      <c r="H1165" s="13"/>
    </row>
    <row r="1166" spans="8:8" s="2" customFormat="1">
      <c r="H1166" s="13"/>
    </row>
    <row r="1167" spans="8:8" s="2" customFormat="1">
      <c r="H1167" s="13"/>
    </row>
    <row r="1168" spans="8:8" s="2" customFormat="1">
      <c r="H1168" s="13"/>
    </row>
    <row r="1169" spans="8:8" s="2" customFormat="1">
      <c r="H1169" s="13"/>
    </row>
    <row r="1170" spans="8:8" s="2" customFormat="1">
      <c r="H1170" s="13"/>
    </row>
    <row r="1171" spans="8:8" s="2" customFormat="1">
      <c r="H1171" s="13"/>
    </row>
    <row r="1172" spans="8:8" s="2" customFormat="1">
      <c r="H1172" s="13"/>
    </row>
    <row r="1173" spans="8:8" s="2" customFormat="1">
      <c r="H1173" s="13"/>
    </row>
    <row r="1174" spans="8:8" s="2" customFormat="1">
      <c r="H1174" s="13"/>
    </row>
    <row r="1175" spans="8:8" s="2" customFormat="1">
      <c r="H1175" s="13"/>
    </row>
    <row r="1176" spans="8:8" s="2" customFormat="1">
      <c r="H1176" s="13"/>
    </row>
    <row r="1177" spans="8:8" s="2" customFormat="1">
      <c r="H1177" s="13"/>
    </row>
    <row r="1178" spans="8:8" s="2" customFormat="1">
      <c r="H1178" s="13"/>
    </row>
    <row r="1179" spans="8:8" s="2" customFormat="1">
      <c r="H1179" s="13"/>
    </row>
    <row r="1180" spans="8:8" s="2" customFormat="1">
      <c r="H1180" s="13"/>
    </row>
    <row r="1181" spans="8:8" s="2" customFormat="1">
      <c r="H1181" s="13"/>
    </row>
    <row r="1182" spans="8:8" s="2" customFormat="1">
      <c r="H1182" s="13"/>
    </row>
    <row r="1183" spans="8:8" s="2" customFormat="1">
      <c r="H1183" s="13"/>
    </row>
    <row r="1184" spans="8:8" s="2" customFormat="1">
      <c r="H1184" s="13"/>
    </row>
    <row r="1185" spans="8:8" s="2" customFormat="1">
      <c r="H1185" s="13"/>
    </row>
    <row r="1186" spans="8:8" s="2" customFormat="1">
      <c r="H1186" s="13"/>
    </row>
    <row r="1187" spans="8:8" s="2" customFormat="1">
      <c r="H1187" s="13"/>
    </row>
    <row r="1188" spans="8:8" s="2" customFormat="1">
      <c r="H1188" s="13"/>
    </row>
    <row r="1189" spans="8:8" s="2" customFormat="1">
      <c r="H1189" s="13"/>
    </row>
    <row r="1190" spans="8:8" s="2" customFormat="1">
      <c r="H1190" s="13"/>
    </row>
    <row r="1191" spans="8:8" s="2" customFormat="1">
      <c r="H1191" s="13"/>
    </row>
    <row r="1192" spans="8:8" s="2" customFormat="1">
      <c r="H1192" s="13"/>
    </row>
    <row r="1193" spans="8:8" s="2" customFormat="1">
      <c r="H1193" s="13"/>
    </row>
    <row r="1194" spans="8:8" s="2" customFormat="1">
      <c r="H1194" s="13"/>
    </row>
    <row r="1195" spans="8:8" s="2" customFormat="1">
      <c r="H1195" s="13"/>
    </row>
    <row r="1196" spans="8:8" s="2" customFormat="1">
      <c r="H1196" s="13"/>
    </row>
    <row r="1197" spans="8:8" s="2" customFormat="1">
      <c r="H1197" s="13"/>
    </row>
    <row r="1198" spans="8:8" s="2" customFormat="1">
      <c r="H1198" s="13"/>
    </row>
    <row r="1199" spans="8:8" s="2" customFormat="1">
      <c r="H1199" s="13"/>
    </row>
    <row r="1200" spans="8:8" s="2" customFormat="1">
      <c r="H1200" s="13"/>
    </row>
    <row r="1201" spans="8:8" s="2" customFormat="1">
      <c r="H1201" s="13"/>
    </row>
    <row r="1202" spans="8:8" s="2" customFormat="1">
      <c r="H1202" s="13"/>
    </row>
    <row r="1203" spans="8:8" s="2" customFormat="1">
      <c r="H1203" s="13"/>
    </row>
    <row r="1204" spans="8:8" s="2" customFormat="1">
      <c r="H1204" s="13"/>
    </row>
    <row r="1205" spans="8:8" s="2" customFormat="1">
      <c r="H1205" s="13"/>
    </row>
    <row r="1206" spans="8:8" s="2" customFormat="1">
      <c r="H1206" s="13"/>
    </row>
    <row r="1207" spans="8:8" s="2" customFormat="1">
      <c r="H1207" s="13"/>
    </row>
    <row r="1208" spans="8:8" s="2" customFormat="1">
      <c r="H1208" s="13"/>
    </row>
    <row r="1209" spans="8:8" s="2" customFormat="1">
      <c r="H1209" s="13"/>
    </row>
    <row r="1210" spans="8:8" s="2" customFormat="1">
      <c r="H1210" s="13"/>
    </row>
    <row r="1211" spans="8:8" s="2" customFormat="1">
      <c r="H1211" s="13"/>
    </row>
    <row r="1212" spans="8:8" s="2" customFormat="1">
      <c r="H1212" s="13"/>
    </row>
    <row r="1213" spans="8:8" s="2" customFormat="1">
      <c r="H1213" s="13"/>
    </row>
    <row r="1214" spans="8:8" s="2" customFormat="1">
      <c r="H1214" s="13"/>
    </row>
    <row r="1215" spans="8:8" s="2" customFormat="1">
      <c r="H1215" s="13"/>
    </row>
    <row r="1216" spans="8:8" s="2" customFormat="1">
      <c r="H1216" s="13"/>
    </row>
    <row r="1217" spans="8:8" s="2" customFormat="1">
      <c r="H1217" s="13"/>
    </row>
    <row r="1218" spans="8:8" s="2" customFormat="1">
      <c r="H1218" s="13"/>
    </row>
    <row r="1219" spans="8:8" s="2" customFormat="1">
      <c r="H1219" s="13"/>
    </row>
    <row r="1220" spans="8:8" s="2" customFormat="1">
      <c r="H1220" s="13"/>
    </row>
    <row r="1221" spans="8:8" s="2" customFormat="1">
      <c r="H1221" s="13"/>
    </row>
    <row r="1222" spans="8:8" s="2" customFormat="1">
      <c r="H1222" s="13"/>
    </row>
    <row r="1223" spans="8:8" s="2" customFormat="1">
      <c r="H1223" s="13"/>
    </row>
    <row r="1224" spans="8:8" s="2" customFormat="1">
      <c r="H1224" s="13"/>
    </row>
    <row r="1225" spans="8:8" s="2" customFormat="1">
      <c r="H1225" s="13"/>
    </row>
    <row r="1226" spans="8:8" s="2" customFormat="1">
      <c r="H1226" s="13"/>
    </row>
    <row r="1227" spans="8:8" s="2" customFormat="1">
      <c r="H1227" s="13"/>
    </row>
    <row r="1228" spans="8:8" s="2" customFormat="1">
      <c r="H1228" s="13"/>
    </row>
    <row r="1229" spans="8:8" s="2" customFormat="1">
      <c r="H1229" s="13"/>
    </row>
    <row r="1230" spans="8:8" s="2" customFormat="1">
      <c r="H1230" s="13"/>
    </row>
    <row r="1231" spans="8:8" s="2" customFormat="1">
      <c r="H1231" s="13"/>
    </row>
    <row r="1232" spans="8:8" s="2" customFormat="1">
      <c r="H1232" s="13"/>
    </row>
    <row r="1233" spans="8:8" s="2" customFormat="1">
      <c r="H1233" s="13"/>
    </row>
    <row r="1234" spans="8:8" s="2" customFormat="1">
      <c r="H1234" s="13"/>
    </row>
    <row r="1235" spans="8:8" s="2" customFormat="1">
      <c r="H1235" s="13"/>
    </row>
    <row r="1236" spans="8:8" s="2" customFormat="1">
      <c r="H1236" s="13"/>
    </row>
    <row r="1237" spans="8:8" s="2" customFormat="1">
      <c r="H1237" s="13"/>
    </row>
    <row r="1238" spans="8:8" s="2" customFormat="1">
      <c r="H1238" s="13"/>
    </row>
    <row r="1239" spans="8:8" s="2" customFormat="1">
      <c r="H1239" s="13"/>
    </row>
    <row r="1240" spans="8:8" s="2" customFormat="1">
      <c r="H1240" s="13"/>
    </row>
    <row r="1241" spans="8:8" s="2" customFormat="1">
      <c r="H1241" s="13"/>
    </row>
    <row r="1242" spans="8:8" s="2" customFormat="1">
      <c r="H1242" s="13"/>
    </row>
    <row r="1243" spans="8:8" s="2" customFormat="1">
      <c r="H1243" s="13"/>
    </row>
    <row r="1244" spans="8:8" s="2" customFormat="1">
      <c r="H1244" s="13"/>
    </row>
    <row r="1245" spans="8:8" s="2" customFormat="1">
      <c r="H1245" s="13"/>
    </row>
    <row r="1246" spans="8:8" s="2" customFormat="1">
      <c r="H1246" s="13"/>
    </row>
    <row r="1247" spans="8:8" s="2" customFormat="1">
      <c r="H1247" s="13"/>
    </row>
    <row r="1248" spans="8:8" s="2" customFormat="1">
      <c r="H1248" s="13"/>
    </row>
    <row r="1249" spans="8:8" s="2" customFormat="1">
      <c r="H1249" s="13"/>
    </row>
    <row r="1250" spans="8:8" s="2" customFormat="1">
      <c r="H1250" s="13"/>
    </row>
    <row r="1251" spans="8:8" s="2" customFormat="1">
      <c r="H1251" s="13"/>
    </row>
    <row r="1252" spans="8:8" s="2" customFormat="1">
      <c r="H1252" s="13"/>
    </row>
    <row r="1253" spans="8:8" s="2" customFormat="1">
      <c r="H1253" s="13"/>
    </row>
    <row r="1254" spans="8:8" s="2" customFormat="1">
      <c r="H1254" s="13"/>
    </row>
    <row r="1255" spans="8:8" s="2" customFormat="1">
      <c r="H1255" s="13"/>
    </row>
    <row r="1256" spans="8:8" s="2" customFormat="1">
      <c r="H1256" s="13"/>
    </row>
    <row r="1257" spans="8:8" s="2" customFormat="1">
      <c r="H1257" s="13"/>
    </row>
    <row r="1258" spans="8:8" s="2" customFormat="1">
      <c r="H1258" s="13"/>
    </row>
    <row r="1259" spans="8:8" s="2" customFormat="1">
      <c r="H1259" s="13"/>
    </row>
  </sheetData>
  <mergeCells count="433">
    <mergeCell ref="A96:H96"/>
    <mergeCell ref="B127:B131"/>
    <mergeCell ref="A144:H144"/>
    <mergeCell ref="A113:H113"/>
    <mergeCell ref="B98:B101"/>
    <mergeCell ref="D127:D131"/>
    <mergeCell ref="E194:E197"/>
    <mergeCell ref="D194:D197"/>
    <mergeCell ref="A67:H67"/>
    <mergeCell ref="A78:H78"/>
    <mergeCell ref="A126:H126"/>
    <mergeCell ref="A138:H138"/>
    <mergeCell ref="A132:H132"/>
    <mergeCell ref="D159:D162"/>
    <mergeCell ref="E159:E162"/>
    <mergeCell ref="F159:F162"/>
    <mergeCell ref="G159:G162"/>
    <mergeCell ref="H159:H162"/>
    <mergeCell ref="A163:H163"/>
    <mergeCell ref="B159:B162"/>
    <mergeCell ref="E217:E220"/>
    <mergeCell ref="F217:F220"/>
    <mergeCell ref="D265:D268"/>
    <mergeCell ref="E265:E268"/>
    <mergeCell ref="A251:H251"/>
    <mergeCell ref="A247:A250"/>
    <mergeCell ref="A235:A239"/>
    <mergeCell ref="A265:A268"/>
    <mergeCell ref="B235:B239"/>
    <mergeCell ref="B242:B245"/>
    <mergeCell ref="B247:B250"/>
    <mergeCell ref="F252:F255"/>
    <mergeCell ref="A257:H257"/>
    <mergeCell ref="E62:E65"/>
    <mergeCell ref="A56:H56"/>
    <mergeCell ref="A57:A60"/>
    <mergeCell ref="B57:B60"/>
    <mergeCell ref="D57:D60"/>
    <mergeCell ref="E57:E60"/>
    <mergeCell ref="F57:F60"/>
    <mergeCell ref="G57:G60"/>
    <mergeCell ref="H57:H60"/>
    <mergeCell ref="F62:F65"/>
    <mergeCell ref="G62:G65"/>
    <mergeCell ref="H62:H65"/>
    <mergeCell ref="A61:H61"/>
    <mergeCell ref="A62:A65"/>
    <mergeCell ref="B62:B65"/>
    <mergeCell ref="D62:D65"/>
    <mergeCell ref="A38:H38"/>
    <mergeCell ref="A39:H39"/>
    <mergeCell ref="D40:D43"/>
    <mergeCell ref="E40:E43"/>
    <mergeCell ref="A55:H55"/>
    <mergeCell ref="A51:A54"/>
    <mergeCell ref="B51:B54"/>
    <mergeCell ref="A44:H44"/>
    <mergeCell ref="A49:H49"/>
    <mergeCell ref="D51:D54"/>
    <mergeCell ref="A45:A48"/>
    <mergeCell ref="B45:B48"/>
    <mergeCell ref="E51:E54"/>
    <mergeCell ref="A50:H50"/>
    <mergeCell ref="F45:F48"/>
    <mergeCell ref="G45:G48"/>
    <mergeCell ref="H45:H48"/>
    <mergeCell ref="D34:D37"/>
    <mergeCell ref="E34:E37"/>
    <mergeCell ref="F3:G3"/>
    <mergeCell ref="A7:H7"/>
    <mergeCell ref="A8:H8"/>
    <mergeCell ref="B9:B13"/>
    <mergeCell ref="D9:D13"/>
    <mergeCell ref="E9:E13"/>
    <mergeCell ref="A14:H14"/>
    <mergeCell ref="D15:D18"/>
    <mergeCell ref="B15:B18"/>
    <mergeCell ref="A33:H33"/>
    <mergeCell ref="A32:H32"/>
    <mergeCell ref="A19:H19"/>
    <mergeCell ref="B21:B25"/>
    <mergeCell ref="D21:D25"/>
    <mergeCell ref="A2:H2"/>
    <mergeCell ref="A31:H31"/>
    <mergeCell ref="A5:H5"/>
    <mergeCell ref="A34:A37"/>
    <mergeCell ref="B34:B37"/>
    <mergeCell ref="D45:D48"/>
    <mergeCell ref="E45:E48"/>
    <mergeCell ref="A21:A25"/>
    <mergeCell ref="A15:A18"/>
    <mergeCell ref="E15:E18"/>
    <mergeCell ref="A40:A43"/>
    <mergeCell ref="B40:B43"/>
    <mergeCell ref="A6:H6"/>
    <mergeCell ref="A26:H26"/>
    <mergeCell ref="B27:B30"/>
    <mergeCell ref="A27:A30"/>
    <mergeCell ref="D27:D30"/>
    <mergeCell ref="E27:E30"/>
    <mergeCell ref="F27:F30"/>
    <mergeCell ref="A9:A13"/>
    <mergeCell ref="H3:H4"/>
    <mergeCell ref="A3:C4"/>
    <mergeCell ref="D3:D4"/>
    <mergeCell ref="E3:E4"/>
    <mergeCell ref="A68:H68"/>
    <mergeCell ref="A73:H73"/>
    <mergeCell ref="A66:H66"/>
    <mergeCell ref="A302:H302"/>
    <mergeCell ref="B316:B319"/>
    <mergeCell ref="D316:D319"/>
    <mergeCell ref="E316:E319"/>
    <mergeCell ref="B270:B273"/>
    <mergeCell ref="B252:B255"/>
    <mergeCell ref="D275:D278"/>
    <mergeCell ref="E275:E278"/>
    <mergeCell ref="E98:E101"/>
    <mergeCell ref="D98:D101"/>
    <mergeCell ref="D120:D123"/>
    <mergeCell ref="E120:E123"/>
    <mergeCell ref="A107:H107"/>
    <mergeCell ref="D103:D106"/>
    <mergeCell ref="B217:B220"/>
    <mergeCell ref="A217:A220"/>
    <mergeCell ref="G217:G220"/>
    <mergeCell ref="H217:H220"/>
    <mergeCell ref="A222:H222"/>
    <mergeCell ref="G228:G231"/>
    <mergeCell ref="D270:D273"/>
    <mergeCell ref="D69:D72"/>
    <mergeCell ref="D74:D77"/>
    <mergeCell ref="E74:E77"/>
    <mergeCell ref="B69:B72"/>
    <mergeCell ref="B74:B77"/>
    <mergeCell ref="E69:E72"/>
    <mergeCell ref="A200:A203"/>
    <mergeCell ref="A205:A208"/>
    <mergeCell ref="E205:E208"/>
    <mergeCell ref="A79:H79"/>
    <mergeCell ref="A84:H84"/>
    <mergeCell ref="B80:B83"/>
    <mergeCell ref="A69:A72"/>
    <mergeCell ref="A74:A77"/>
    <mergeCell ref="A80:A83"/>
    <mergeCell ref="F74:F77"/>
    <mergeCell ref="G74:G77"/>
    <mergeCell ref="H74:H77"/>
    <mergeCell ref="D200:D203"/>
    <mergeCell ref="E200:E203"/>
    <mergeCell ref="B205:B208"/>
    <mergeCell ref="D205:D208"/>
    <mergeCell ref="A199:H199"/>
    <mergeCell ref="E127:E131"/>
    <mergeCell ref="AW84:BD84"/>
    <mergeCell ref="A321:A324"/>
    <mergeCell ref="B321:B324"/>
    <mergeCell ref="D321:D324"/>
    <mergeCell ref="E321:E324"/>
    <mergeCell ref="A314:H314"/>
    <mergeCell ref="A310:A313"/>
    <mergeCell ref="E310:E313"/>
    <mergeCell ref="A320:H320"/>
    <mergeCell ref="H310:H313"/>
    <mergeCell ref="H321:H324"/>
    <mergeCell ref="F310:F313"/>
    <mergeCell ref="G310:G313"/>
    <mergeCell ref="F321:F324"/>
    <mergeCell ref="G321:G324"/>
    <mergeCell ref="B305:B308"/>
    <mergeCell ref="D305:D308"/>
    <mergeCell ref="E305:E308"/>
    <mergeCell ref="A309:H309"/>
    <mergeCell ref="A315:H315"/>
    <mergeCell ref="A316:A319"/>
    <mergeCell ref="A305:A308"/>
    <mergeCell ref="B310:B313"/>
    <mergeCell ref="A304:H304"/>
    <mergeCell ref="I84:P84"/>
    <mergeCell ref="Q84:X84"/>
    <mergeCell ref="Y84:AF84"/>
    <mergeCell ref="AG84:AN84"/>
    <mergeCell ref="AO84:AV84"/>
    <mergeCell ref="B85:B88"/>
    <mergeCell ref="D85:D88"/>
    <mergeCell ref="E85:E88"/>
    <mergeCell ref="D80:D83"/>
    <mergeCell ref="E80:E83"/>
    <mergeCell ref="FE84:FL84"/>
    <mergeCell ref="CK84:CR84"/>
    <mergeCell ref="CS84:CZ84"/>
    <mergeCell ref="DA84:DH84"/>
    <mergeCell ref="DI84:DP84"/>
    <mergeCell ref="DQ84:DX84"/>
    <mergeCell ref="BE84:BL84"/>
    <mergeCell ref="BM84:BT84"/>
    <mergeCell ref="BU84:CB84"/>
    <mergeCell ref="CC84:CJ84"/>
    <mergeCell ref="IO84:IV84"/>
    <mergeCell ref="A89:H89"/>
    <mergeCell ref="IG84:IN84"/>
    <mergeCell ref="GS84:GZ84"/>
    <mergeCell ref="DY84:EF84"/>
    <mergeCell ref="A98:A101"/>
    <mergeCell ref="A97:H97"/>
    <mergeCell ref="A92:A95"/>
    <mergeCell ref="B92:B95"/>
    <mergeCell ref="A85:A88"/>
    <mergeCell ref="F85:F88"/>
    <mergeCell ref="G85:G88"/>
    <mergeCell ref="H85:H88"/>
    <mergeCell ref="HA84:HH84"/>
    <mergeCell ref="HI84:HP84"/>
    <mergeCell ref="HQ84:HX84"/>
    <mergeCell ref="HY84:IF84"/>
    <mergeCell ref="FM84:FT84"/>
    <mergeCell ref="FU84:GB84"/>
    <mergeCell ref="GC84:GJ84"/>
    <mergeCell ref="GK84:GR84"/>
    <mergeCell ref="EG84:EN84"/>
    <mergeCell ref="EO84:EV84"/>
    <mergeCell ref="EW84:FD84"/>
    <mergeCell ref="D92:D95"/>
    <mergeCell ref="E92:E95"/>
    <mergeCell ref="E103:E106"/>
    <mergeCell ref="H133:H136"/>
    <mergeCell ref="B120:B123"/>
    <mergeCell ref="D310:D313"/>
    <mergeCell ref="A115:A118"/>
    <mergeCell ref="B115:B118"/>
    <mergeCell ref="D115:D118"/>
    <mergeCell ref="E115:E118"/>
    <mergeCell ref="A108:H108"/>
    <mergeCell ref="A109:A112"/>
    <mergeCell ref="E133:E136"/>
    <mergeCell ref="F133:F136"/>
    <mergeCell ref="G133:G136"/>
    <mergeCell ref="A303:H303"/>
    <mergeCell ref="A120:A123"/>
    <mergeCell ref="D145:D148"/>
    <mergeCell ref="E145:E148"/>
    <mergeCell ref="F145:F148"/>
    <mergeCell ref="H145:H148"/>
    <mergeCell ref="A216:H216"/>
    <mergeCell ref="E270:E273"/>
    <mergeCell ref="D217:D220"/>
    <mergeCell ref="A204:H204"/>
    <mergeCell ref="A145:A148"/>
    <mergeCell ref="B145:B148"/>
    <mergeCell ref="G145:G148"/>
    <mergeCell ref="G109:G112"/>
    <mergeCell ref="H109:H112"/>
    <mergeCell ref="A133:A136"/>
    <mergeCell ref="B133:B136"/>
    <mergeCell ref="D133:D136"/>
    <mergeCell ref="A90:H90"/>
    <mergeCell ref="A91:H91"/>
    <mergeCell ref="B282:B285"/>
    <mergeCell ref="A114:H114"/>
    <mergeCell ref="A102:H102"/>
    <mergeCell ref="A103:A106"/>
    <mergeCell ref="B103:B106"/>
    <mergeCell ref="A124:H124"/>
    <mergeCell ref="A125:H125"/>
    <mergeCell ref="A137:H137"/>
    <mergeCell ref="A119:H119"/>
    <mergeCell ref="A127:A131"/>
    <mergeCell ref="A139:A143"/>
    <mergeCell ref="F92:F95"/>
    <mergeCell ref="G92:G95"/>
    <mergeCell ref="H92:H95"/>
    <mergeCell ref="B109:B112"/>
    <mergeCell ref="D109:D112"/>
    <mergeCell ref="E109:E112"/>
    <mergeCell ref="F109:F112"/>
    <mergeCell ref="A281:H281"/>
    <mergeCell ref="E139:E143"/>
    <mergeCell ref="D139:D143"/>
    <mergeCell ref="B139:B143"/>
    <mergeCell ref="A209:H209"/>
    <mergeCell ref="A212:A215"/>
    <mergeCell ref="B212:B215"/>
    <mergeCell ref="D212:D215"/>
    <mergeCell ref="E212:E215"/>
    <mergeCell ref="A210:H210"/>
    <mergeCell ref="A211:H211"/>
    <mergeCell ref="A298:A301"/>
    <mergeCell ref="D298:D301"/>
    <mergeCell ref="E298:E301"/>
    <mergeCell ref="A293:A296"/>
    <mergeCell ref="D293:D296"/>
    <mergeCell ref="A292:H292"/>
    <mergeCell ref="B298:B301"/>
    <mergeCell ref="B293:B296"/>
    <mergeCell ref="A297:H297"/>
    <mergeCell ref="E293:E296"/>
    <mergeCell ref="A286:H286"/>
    <mergeCell ref="B287:B290"/>
    <mergeCell ref="E223:E226"/>
    <mergeCell ref="A221:H221"/>
    <mergeCell ref="A232:H232"/>
    <mergeCell ref="E252:E255"/>
    <mergeCell ref="G252:G255"/>
    <mergeCell ref="A157:H157"/>
    <mergeCell ref="A168:H168"/>
    <mergeCell ref="A169:H169"/>
    <mergeCell ref="A158:H158"/>
    <mergeCell ref="A159:A162"/>
    <mergeCell ref="B194:B197"/>
    <mergeCell ref="B200:B203"/>
    <mergeCell ref="A198:H198"/>
    <mergeCell ref="A186:H186"/>
    <mergeCell ref="A187:H187"/>
    <mergeCell ref="A193:H193"/>
    <mergeCell ref="A188:H188"/>
    <mergeCell ref="B189:B192"/>
    <mergeCell ref="D189:D192"/>
    <mergeCell ref="E189:E192"/>
    <mergeCell ref="A189:A192"/>
    <mergeCell ref="A194:A197"/>
    <mergeCell ref="A175:H175"/>
    <mergeCell ref="A170:A174"/>
    <mergeCell ref="B170:B174"/>
    <mergeCell ref="D170:D174"/>
    <mergeCell ref="E170:E174"/>
    <mergeCell ref="A181:H181"/>
    <mergeCell ref="A182:A185"/>
    <mergeCell ref="B182:B185"/>
    <mergeCell ref="D182:D185"/>
    <mergeCell ref="E182:E185"/>
    <mergeCell ref="F182:F185"/>
    <mergeCell ref="G182:G185"/>
    <mergeCell ref="H182:H185"/>
    <mergeCell ref="F275:F278"/>
    <mergeCell ref="G275:G278"/>
    <mergeCell ref="H275:H278"/>
    <mergeCell ref="A223:A226"/>
    <mergeCell ref="B223:B226"/>
    <mergeCell ref="D223:D226"/>
    <mergeCell ref="A234:H234"/>
    <mergeCell ref="D258:D262"/>
    <mergeCell ref="E258:E262"/>
    <mergeCell ref="D252:D255"/>
    <mergeCell ref="A233:H233"/>
    <mergeCell ref="A252:A255"/>
    <mergeCell ref="A227:H227"/>
    <mergeCell ref="A228:A231"/>
    <mergeCell ref="B228:B231"/>
    <mergeCell ref="D228:D231"/>
    <mergeCell ref="E228:E231"/>
    <mergeCell ref="F228:F231"/>
    <mergeCell ref="H252:H255"/>
    <mergeCell ref="E21:E25"/>
    <mergeCell ref="A20:H20"/>
    <mergeCell ref="H15:H18"/>
    <mergeCell ref="F15:F18"/>
    <mergeCell ref="G15:G18"/>
    <mergeCell ref="G247:G250"/>
    <mergeCell ref="H247:H250"/>
    <mergeCell ref="G27:G30"/>
    <mergeCell ref="H27:H30"/>
    <mergeCell ref="F40:F43"/>
    <mergeCell ref="D247:D250"/>
    <mergeCell ref="D235:D239"/>
    <mergeCell ref="E235:E239"/>
    <mergeCell ref="D242:D245"/>
    <mergeCell ref="E242:E245"/>
    <mergeCell ref="A240:H240"/>
    <mergeCell ref="A241:H241"/>
    <mergeCell ref="A149:H149"/>
    <mergeCell ref="A152:A156"/>
    <mergeCell ref="B152:B156"/>
    <mergeCell ref="D152:D156"/>
    <mergeCell ref="E152:E156"/>
    <mergeCell ref="A150:H150"/>
    <mergeCell ref="A151:H151"/>
    <mergeCell ref="G40:G43"/>
    <mergeCell ref="H40:H43"/>
    <mergeCell ref="A246:H246"/>
    <mergeCell ref="E247:E250"/>
    <mergeCell ref="A242:A245"/>
    <mergeCell ref="G287:G290"/>
    <mergeCell ref="H287:H290"/>
    <mergeCell ref="A164:A167"/>
    <mergeCell ref="B164:B167"/>
    <mergeCell ref="D164:D167"/>
    <mergeCell ref="A256:H256"/>
    <mergeCell ref="A287:A290"/>
    <mergeCell ref="D287:D290"/>
    <mergeCell ref="E287:E290"/>
    <mergeCell ref="A279:H279"/>
    <mergeCell ref="A282:A285"/>
    <mergeCell ref="D282:D285"/>
    <mergeCell ref="E282:E285"/>
    <mergeCell ref="F270:F273"/>
    <mergeCell ref="G270:G273"/>
    <mergeCell ref="H270:H273"/>
    <mergeCell ref="B275:B278"/>
    <mergeCell ref="B265:B268"/>
    <mergeCell ref="B258:B262"/>
    <mergeCell ref="F287:F290"/>
    <mergeCell ref="A280:H280"/>
    <mergeCell ref="F265:F268"/>
    <mergeCell ref="G265:G268"/>
    <mergeCell ref="H265:H268"/>
    <mergeCell ref="G164:G167"/>
    <mergeCell ref="H164:H167"/>
    <mergeCell ref="A176:H176"/>
    <mergeCell ref="F298:F301"/>
    <mergeCell ref="G298:G301"/>
    <mergeCell ref="H298:H301"/>
    <mergeCell ref="H228:H231"/>
    <mergeCell ref="F242:F245"/>
    <mergeCell ref="G242:G245"/>
    <mergeCell ref="H242:H245"/>
    <mergeCell ref="F247:F250"/>
    <mergeCell ref="A291:H291"/>
    <mergeCell ref="A258:A262"/>
    <mergeCell ref="A275:A278"/>
    <mergeCell ref="A270:A273"/>
    <mergeCell ref="A264:H264"/>
    <mergeCell ref="A269:H269"/>
    <mergeCell ref="A274:H274"/>
    <mergeCell ref="A263:H263"/>
    <mergeCell ref="H177:H180"/>
    <mergeCell ref="B177:B180"/>
    <mergeCell ref="A177:A180"/>
    <mergeCell ref="D177:D180"/>
    <mergeCell ref="E177:E180"/>
    <mergeCell ref="F177:F180"/>
    <mergeCell ref="G177:G180"/>
    <mergeCell ref="E164:E167"/>
    <mergeCell ref="F164:F16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Individual</vt:lpstr>
      <vt:lpstr>Joint Operation</vt:lpstr>
      <vt:lpstr>Individual!Область_печати</vt:lpstr>
      <vt:lpstr>'Joint Operation'!Область_печати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Oleg</cp:lastModifiedBy>
  <cp:lastPrinted>2010-12-21T08:58:17Z</cp:lastPrinted>
  <dcterms:created xsi:type="dcterms:W3CDTF">1996-10-08T23:32:33Z</dcterms:created>
  <dcterms:modified xsi:type="dcterms:W3CDTF">2014-02-13T05:51:15Z</dcterms:modified>
</cp:coreProperties>
</file>