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table 1+table 2" sheetId="1" r:id="rId1"/>
    <sheet name="свод-текущий дефицит" sheetId="2" state="hidden" r:id="rId2"/>
    <sheet name="свод-ожидаемый дефицит" sheetId="3" state="hidden" r:id="rId3"/>
    <sheet name="Табл.1 Текущий дефицит" sheetId="4" state="hidden" r:id="rId4"/>
    <sheet name="Табл.2 Ожидаемый дефицит" sheetId="5" state="hidden" r:id="rId5"/>
  </sheets>
  <definedNames>
    <definedName name="_xlnm._FilterDatabase" localSheetId="0" hidden="1">'table 1+table 2'!$A$6:$Z$398</definedName>
    <definedName name="_xlnm._FilterDatabase" localSheetId="4" hidden="1">'Табл.2 Ожидаемый дефицит'!$A$7:$M$399</definedName>
    <definedName name="_xlnm.Print_Area" localSheetId="0">'table 1+table 2'!$A$1:$Z$405</definedName>
    <definedName name="_xlnm.Print_Area" localSheetId="2">'свод-ожидаемый дефицит'!$A$1:$D$23</definedName>
    <definedName name="_xlnm.Print_Area" localSheetId="1">'свод-текущий дефицит'!$A$1:$D$14</definedName>
    <definedName name="_xlnm.Print_Area" localSheetId="3">'Табл.1 Текущий дефицит'!$A$1:$L$406</definedName>
  </definedNames>
  <calcPr fullCalcOnLoad="1"/>
</workbook>
</file>

<file path=xl/sharedStrings.xml><?xml version="1.0" encoding="utf-8"?>
<sst xmlns="http://schemas.openxmlformats.org/spreadsheetml/2006/main" count="4671" uniqueCount="734">
  <si>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</si>
  <si>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</si>
  <si>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</si>
  <si>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</si>
  <si>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</si>
  <si>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</si>
  <si>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</si>
  <si>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</si>
  <si>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</si>
  <si>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</si>
  <si>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</si>
  <si>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</si>
  <si>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</si>
  <si>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</si>
  <si>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</si>
  <si>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</si>
  <si>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</si>
  <si>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</si>
  <si>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</si>
  <si>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</si>
  <si>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</si>
  <si>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</si>
  <si>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</si>
  <si>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</si>
  <si>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</si>
  <si>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</si>
  <si>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</si>
  <si>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</si>
  <si>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</si>
  <si>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</si>
  <si>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</si>
  <si>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</si>
  <si>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</si>
  <si>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</si>
  <si>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</si>
  <si>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</si>
  <si>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</si>
  <si>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</si>
  <si>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</si>
  <si>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</si>
  <si>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</si>
  <si>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</si>
  <si>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</si>
  <si>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</si>
  <si>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</si>
  <si>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</si>
  <si>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</si>
  <si>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</si>
  <si>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</si>
  <si>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</si>
  <si>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</si>
  <si>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</si>
  <si>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</si>
  <si>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</si>
  <si>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</si>
  <si>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</si>
  <si>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</si>
  <si>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</si>
  <si>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</si>
  <si>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</si>
  <si>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</si>
  <si>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</si>
  <si>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</si>
  <si>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</si>
  <si>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</si>
  <si>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</si>
  <si>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</si>
  <si>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</si>
  <si>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</si>
  <si>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</si>
  <si>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</si>
  <si>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</si>
  <si>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</si>
  <si>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</si>
  <si>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</si>
  <si>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</si>
  <si>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</si>
  <si>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</si>
  <si>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</si>
  <si>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</si>
  <si>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</si>
  <si>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</si>
  <si>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</si>
  <si>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</si>
  <si>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</si>
  <si>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</si>
  <si>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</si>
  <si>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</si>
  <si>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</si>
  <si>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</si>
  <si>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</si>
  <si>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</si>
  <si>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</si>
  <si>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</si>
  <si>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</si>
  <si>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</si>
  <si>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</si>
  <si>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</si>
  <si>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</si>
  <si>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</si>
  <si>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</si>
  <si>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</si>
  <si>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</si>
  <si>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</si>
  <si>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</si>
  <si>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</si>
  <si>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</si>
  <si>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</si>
  <si>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</si>
  <si>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</si>
  <si>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</si>
  <si>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</si>
  <si>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</si>
  <si>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</si>
  <si>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</si>
  <si>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</si>
  <si>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</si>
  <si>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</si>
  <si>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</si>
  <si>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</si>
  <si>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</si>
  <si>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</si>
  <si>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</si>
  <si>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</si>
  <si>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</si>
  <si>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</si>
  <si>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</si>
  <si>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</si>
  <si>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</si>
  <si>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</si>
  <si>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</si>
  <si>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</si>
  <si>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</si>
  <si>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</si>
  <si>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</si>
  <si>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</si>
  <si>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</si>
  <si>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</si>
  <si>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</si>
  <si>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</si>
  <si>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</si>
  <si>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</si>
  <si>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</si>
  <si>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</si>
  <si>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</si>
  <si>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</si>
  <si>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</si>
  <si>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</si>
  <si>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</si>
  <si>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</si>
  <si>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</si>
  <si>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</si>
  <si>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</si>
  <si>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</si>
  <si>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</si>
  <si>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</si>
  <si>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</si>
  <si>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</si>
  <si>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</si>
  <si>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</si>
  <si>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</si>
  <si>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</si>
  <si>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</si>
  <si>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</si>
  <si>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</si>
  <si>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</si>
  <si>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</si>
  <si>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</si>
  <si>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</si>
  <si>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</si>
  <si>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</si>
  <si>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</si>
  <si>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</si>
  <si>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</si>
  <si>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</si>
  <si>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</si>
  <si>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</si>
  <si>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</si>
  <si>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</si>
  <si>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</si>
  <si>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</si>
  <si>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</si>
  <si>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</si>
  <si>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</si>
  <si>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</si>
  <si>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</si>
  <si>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</si>
  <si>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</si>
  <si>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</si>
  <si>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</si>
  <si>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</si>
  <si>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</si>
  <si>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</si>
  <si>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</si>
  <si>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</si>
  <si>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</si>
  <si>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</si>
  <si>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</si>
  <si>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</si>
  <si>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</si>
  <si>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</si>
  <si>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</si>
  <si>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</si>
  <si>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</si>
  <si>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</si>
  <si>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</si>
  <si>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</si>
  <si>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</si>
  <si>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</si>
  <si>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</si>
  <si>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</si>
  <si>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</si>
  <si>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</si>
  <si>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</si>
  <si>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</si>
  <si>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</si>
  <si>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</si>
  <si>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</si>
  <si>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</si>
  <si>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</si>
  <si>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</si>
  <si>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</si>
  <si>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</si>
  <si>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</si>
  <si>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</si>
  <si>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</si>
  <si>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</si>
  <si>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</si>
  <si>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</si>
  <si>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</si>
  <si>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</si>
  <si>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</si>
  <si>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</si>
  <si>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</si>
  <si>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</si>
  <si>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</si>
  <si>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</si>
  <si>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</si>
  <si>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</si>
  <si>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</si>
  <si>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</si>
  <si>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</si>
  <si>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</si>
  <si>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</si>
  <si>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</si>
  <si>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</si>
  <si>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</si>
  <si>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</si>
  <si>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</si>
  <si>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</si>
  <si>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</si>
  <si>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</si>
  <si>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</si>
  <si>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</si>
  <si>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</si>
  <si>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</si>
  <si>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</si>
  <si>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</si>
  <si>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</si>
  <si>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</si>
  <si>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</si>
  <si>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</si>
  <si>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</si>
  <si>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</si>
  <si>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</si>
  <si>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</si>
  <si>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</si>
  <si>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</si>
  <si>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</si>
  <si>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</si>
  <si>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</si>
  <si>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</si>
  <si>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</si>
  <si>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</si>
  <si>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</si>
  <si>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</si>
  <si>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</si>
  <si>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</si>
  <si>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</si>
  <si>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</si>
  <si>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</si>
  <si>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</si>
  <si>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</si>
  <si>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</si>
  <si>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</si>
  <si>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</si>
  <si>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</si>
  <si>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</si>
  <si>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</si>
  <si>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</si>
  <si>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</si>
  <si>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</si>
  <si>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</si>
  <si>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</si>
  <si>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</si>
  <si>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</si>
  <si>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</si>
  <si>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</si>
  <si>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</si>
  <si>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</si>
  <si>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</si>
  <si>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</si>
  <si>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</si>
  <si>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</si>
  <si>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</si>
  <si>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</si>
  <si>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</si>
  <si>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</si>
  <si>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</si>
  <si>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</si>
  <si>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</si>
  <si>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</si>
  <si>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</si>
  <si>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</si>
  <si>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</si>
  <si>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</si>
  <si>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</si>
  <si>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</si>
  <si>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</si>
  <si>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</si>
  <si>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</si>
  <si>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</si>
  <si>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</si>
  <si>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</si>
  <si>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</si>
  <si>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</si>
  <si>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</si>
  <si>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</si>
  <si>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</si>
  <si>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</si>
  <si>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</si>
  <si>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</si>
  <si>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</si>
  <si>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</si>
  <si>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</si>
  <si>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</si>
  <si>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</si>
  <si>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</si>
  <si>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</si>
  <si>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</si>
  <si>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</si>
  <si>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</si>
  <si>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</si>
  <si>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</si>
  <si>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</si>
  <si>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</si>
  <si>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</si>
  <si>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</si>
  <si>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</si>
  <si>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</si>
  <si>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</si>
  <si>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</si>
  <si>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</si>
  <si>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</si>
  <si>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</si>
  <si>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</si>
  <si>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</si>
  <si>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</si>
  <si>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</si>
  <si>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</si>
  <si>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</si>
  <si>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</si>
  <si>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</si>
  <si>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</si>
  <si>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</si>
  <si>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</si>
  <si>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</si>
  <si>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</si>
  <si>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</si>
  <si>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</si>
  <si>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</si>
  <si>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</si>
  <si>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</si>
  <si>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</si>
  <si>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</si>
  <si>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</si>
  <si>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</si>
  <si>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</si>
  <si>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</si>
  <si>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</si>
  <si>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</si>
  <si>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</si>
  <si>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Ожидаемый дефицит, МВА</t>
  </si>
  <si>
    <t>Форма расчёта пропускной способности Центров питания филиала ОАО "МРСК Центра" -"Курскэнерго"   - Текущий дефицит</t>
  </si>
  <si>
    <t xml:space="preserve">*Примечание: Дефицит мощности по ПС Высокая обусловлен переводом нагрузок 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</si>
  <si>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</si>
  <si>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</si>
  <si>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</si>
  <si>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</si>
  <si>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</si>
  <si>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</si>
  <si>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</si>
  <si>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</si>
  <si>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</si>
  <si>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Итого текущий дефицит (зима 2010)</t>
  </si>
  <si>
    <t>Итого ожидаемый дефицит (зима 2011)</t>
  </si>
  <si>
    <t>10.</t>
  </si>
  <si>
    <t>2 х 40,0</t>
  </si>
  <si>
    <t>1х16</t>
  </si>
  <si>
    <t>1х4,0</t>
  </si>
  <si>
    <t>1х4</t>
  </si>
  <si>
    <t xml:space="preserve">Дефицит мощности будет снят после проведения реконструкции и замены установленных трансформаторов на </t>
  </si>
  <si>
    <t>трансформаторы большей мощности.</t>
  </si>
  <si>
    <t>11.</t>
  </si>
  <si>
    <t>ПС 110/10 Родники</t>
  </si>
  <si>
    <t>2х25</t>
  </si>
  <si>
    <t>Перечень закрытых центров питания филиала ОАО "МРСК Центра" - "Курскэнерго" зима 2010 г. (текущий дефицит мощности)</t>
  </si>
  <si>
    <t>12.</t>
  </si>
  <si>
    <t>ПС 35/10 кВ Коренево</t>
  </si>
  <si>
    <t>4,0+6,3</t>
  </si>
  <si>
    <t>с ПС Центральная и будет снят после перевода нагрузок потребителями</t>
  </si>
  <si>
    <t>Форма расчёта пропускной способности центров питания филиала ОАО "МРСК Центра" -"Курскэнерго"  за ноябрь 2011 г.  - Ожидаемый дефицит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</si>
  <si>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ноябрь 2011г.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</si>
  <si>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</si>
  <si>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</si>
  <si>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</si>
  <si>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</si>
  <si>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</si>
  <si>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</si>
  <si>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</si>
  <si>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</si>
  <si>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</si>
  <si>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</si>
  <si>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</si>
  <si>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</si>
  <si>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</si>
  <si>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</si>
  <si>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</si>
  <si>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</si>
  <si>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</si>
  <si>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</si>
  <si>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</si>
  <si>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</si>
  <si>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</si>
  <si>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</si>
  <si>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available</t>
  </si>
  <si>
    <t>unavailable</t>
  </si>
  <si>
    <t>1 day and night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</si>
  <si>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</si>
  <si>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</si>
  <si>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</si>
  <si>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</si>
  <si>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</si>
  <si>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</si>
  <si>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</si>
  <si>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</si>
  <si>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</si>
  <si>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</si>
  <si>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</si>
  <si>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</si>
  <si>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</si>
  <si>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</si>
  <si>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</si>
  <si>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</si>
  <si>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</si>
  <si>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</si>
  <si>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</si>
  <si>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</si>
  <si>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</si>
  <si>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</si>
  <si>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</si>
  <si>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</si>
  <si>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</si>
  <si>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</si>
  <si>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</si>
  <si>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</si>
  <si>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</si>
  <si>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</si>
  <si>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</si>
  <si>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</si>
  <si>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</si>
  <si>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</si>
  <si>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</si>
  <si>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</si>
  <si>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</si>
  <si>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</si>
  <si>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</si>
  <si>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</si>
  <si>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</si>
  <si>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</si>
  <si>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</si>
  <si>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</si>
  <si>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</si>
  <si>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</si>
  <si>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</si>
  <si>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</si>
  <si>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</si>
  <si>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</si>
  <si>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</si>
  <si>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</si>
  <si>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</si>
  <si>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</si>
  <si>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</si>
  <si>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</si>
  <si>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</si>
  <si>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</si>
  <si>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</si>
  <si>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</si>
  <si>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</si>
  <si>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</si>
  <si>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</si>
  <si>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</si>
  <si>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</si>
  <si>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</si>
  <si>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</si>
  <si>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</si>
  <si>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</si>
  <si>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</si>
  <si>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</si>
  <si>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</si>
  <si>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</si>
  <si>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</si>
  <si>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</si>
  <si>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</si>
  <si>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</si>
  <si>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</si>
  <si>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</si>
  <si>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</si>
  <si>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</si>
  <si>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</si>
  <si>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</si>
  <si>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</si>
  <si>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</si>
  <si>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</si>
  <si>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</si>
  <si>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</si>
  <si>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</si>
  <si>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</si>
  <si>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</si>
  <si>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</si>
  <si>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</si>
  <si>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</si>
  <si>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</si>
  <si>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</si>
  <si>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</si>
  <si>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</si>
  <si>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</si>
  <si>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</si>
  <si>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</si>
  <si>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</si>
  <si>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</si>
  <si>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</si>
  <si>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</si>
  <si>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</si>
  <si>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</si>
  <si>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</si>
  <si>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</si>
  <si>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</si>
  <si>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</si>
  <si>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</si>
  <si>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</si>
  <si>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</si>
  <si>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</si>
  <si>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</si>
  <si>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</si>
  <si>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</si>
  <si>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</si>
  <si>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</si>
  <si>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</si>
  <si>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</si>
  <si>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</si>
  <si>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</si>
  <si>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</si>
  <si>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</si>
  <si>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</si>
  <si>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</si>
  <si>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</si>
  <si>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</si>
  <si>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</si>
  <si>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</si>
  <si>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</si>
  <si>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</si>
  <si>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</si>
  <si>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</si>
  <si>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</si>
  <si>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</si>
  <si>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</si>
  <si>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</si>
  <si>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</si>
  <si>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</si>
  <si>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</si>
  <si>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</si>
  <si>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</si>
  <si>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</si>
  <si>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</si>
  <si>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</si>
  <si>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</si>
  <si>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</si>
  <si>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</si>
  <si>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</si>
  <si>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</si>
  <si>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</si>
  <si>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</si>
  <si>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</si>
  <si>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</si>
  <si>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</si>
  <si>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</si>
  <si>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</si>
  <si>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</si>
  <si>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</si>
  <si>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</si>
  <si>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</si>
  <si>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</si>
  <si>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</si>
  <si>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</si>
  <si>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</si>
  <si>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</si>
  <si>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</si>
  <si>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</si>
  <si>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</si>
  <si>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</si>
  <si>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</si>
  <si>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</si>
  <si>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</si>
  <si>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</si>
  <si>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</si>
  <si>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</si>
  <si>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</si>
  <si>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</si>
  <si>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</si>
  <si>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</si>
  <si>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</si>
  <si>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</si>
  <si>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</si>
  <si>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</si>
  <si>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</si>
  <si>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</si>
  <si>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</si>
  <si>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</si>
  <si>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</si>
  <si>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</si>
  <si>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</si>
  <si>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</si>
  <si>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</si>
  <si>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</si>
  <si>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</si>
  <si>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</si>
  <si>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</si>
  <si>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</si>
  <si>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</si>
  <si>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</si>
  <si>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</si>
  <si>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</si>
  <si>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</si>
  <si>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</si>
  <si>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</si>
  <si>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</si>
  <si>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</si>
  <si>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</si>
  <si>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</si>
  <si>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</si>
  <si>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</si>
  <si>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</si>
  <si>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</si>
  <si>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</si>
  <si>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</si>
  <si>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</si>
  <si>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</si>
  <si>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</si>
  <si>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</si>
  <si>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</si>
  <si>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</si>
  <si>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</si>
  <si>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</si>
  <si>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</si>
  <si>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</si>
  <si>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</si>
  <si>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</si>
  <si>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</si>
  <si>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</si>
  <si>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</si>
  <si>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</si>
  <si>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</si>
  <si>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</si>
  <si>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</si>
  <si>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</si>
  <si>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</si>
  <si>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</si>
  <si>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</si>
  <si>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</si>
  <si>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</si>
  <si>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</si>
  <si>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</si>
  <si>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</si>
  <si>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</si>
  <si>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</si>
  <si>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</si>
  <si>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</si>
  <si>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</si>
  <si>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</si>
  <si>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</si>
  <si>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</si>
  <si>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</si>
  <si>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</si>
  <si>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</si>
  <si>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</si>
  <si>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</si>
  <si>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</si>
  <si>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</si>
  <si>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</si>
  <si>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</si>
  <si>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</si>
  <si>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</si>
  <si>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</si>
  <si>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</si>
  <si>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</si>
  <si>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</si>
  <si>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</si>
  <si>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</si>
  <si>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</si>
  <si>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</si>
  <si>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</si>
  <si>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</si>
  <si>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</si>
  <si>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</si>
  <si>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</si>
  <si>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</si>
  <si>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</si>
  <si>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</si>
  <si>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</si>
  <si>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</si>
  <si>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</si>
  <si>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</si>
  <si>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SS 110/10 Rodniki</t>
  </si>
  <si>
    <t>TOTAL:</t>
  </si>
  <si>
    <t>deficit</t>
  </si>
  <si>
    <t>proficit</t>
  </si>
  <si>
    <t xml:space="preserve">*Note: he power shortage at  the substation Vysokaya due to transfer loads from the substation Central </t>
  </si>
  <si>
    <t xml:space="preserve">and will be removed after commissioning of SWG-10kV at substation Central. </t>
  </si>
  <si>
    <t xml:space="preserve">*Note: The facilities are included in the Investment Program for 2010-2015. </t>
  </si>
  <si>
    <t>Power shortage will be removed after the reconstruction and replacement of transformers with higher power.</t>
  </si>
  <si>
    <t xml:space="preserve">Deputy director for technical policy - </t>
  </si>
  <si>
    <t>Chief engineer</t>
  </si>
  <si>
    <t>A.N. Rudnevsky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</si>
</sst>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1" fontId="4" fillId="33" borderId="0" xfId="0" applyNumberFormat="1" applyFont="1" applyFill="1" applyAlignment="1">
      <alignment/>
    </xf>
    <xf numFmtId="164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164" fontId="4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64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64" fontId="4" fillId="38" borderId="10" xfId="0" applyNumberFormat="1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/>
    </xf>
    <xf numFmtId="2" fontId="6" fillId="39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/>
    </xf>
    <xf numFmtId="164" fontId="4" fillId="37" borderId="10" xfId="0" applyNumberFormat="1" applyFont="1" applyFill="1" applyBorder="1" applyAlignment="1">
      <alignment horizontal="center" vertical="center"/>
    </xf>
    <xf numFmtId="164" fontId="3" fillId="37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5" fontId="4" fillId="37" borderId="10" xfId="58" applyNumberFormat="1" applyFont="1" applyFill="1" applyBorder="1" applyAlignment="1">
      <alignment horizontal="left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61" fillId="36" borderId="0" xfId="0" applyFont="1" applyFill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0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center" vertical="center" wrapText="1"/>
    </xf>
    <xf numFmtId="164" fontId="23" fillId="37" borderId="10" xfId="0" applyNumberFormat="1" applyFont="1" applyFill="1" applyBorder="1" applyAlignment="1">
      <alignment horizontal="center" vertical="center" wrapText="1"/>
    </xf>
    <xf numFmtId="164" fontId="20" fillId="37" borderId="10" xfId="0" applyNumberFormat="1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164" fontId="20" fillId="37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20" fillId="37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4" fillId="36" borderId="15" xfId="0" applyFont="1" applyFill="1" applyBorder="1" applyAlignment="1">
      <alignment vertical="center" wrapText="1"/>
    </xf>
    <xf numFmtId="2" fontId="23" fillId="35" borderId="10" xfId="0" applyNumberFormat="1" applyFont="1" applyFill="1" applyBorder="1" applyAlignment="1">
      <alignment horizontal="left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164" fontId="22" fillId="37" borderId="10" xfId="0" applyNumberFormat="1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2" fontId="23" fillId="37" borderId="10" xfId="0" applyNumberFormat="1" applyFont="1" applyFill="1" applyBorder="1" applyAlignment="1">
      <alignment horizontal="left" vertical="center" wrapText="1"/>
    </xf>
    <xf numFmtId="2" fontId="23" fillId="37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/>
    </xf>
    <xf numFmtId="2" fontId="23" fillId="36" borderId="10" xfId="0" applyNumberFormat="1" applyFont="1" applyFill="1" applyBorder="1" applyAlignment="1">
      <alignment horizontal="center" vertical="center" wrapText="1"/>
    </xf>
    <xf numFmtId="2" fontId="23" fillId="38" borderId="10" xfId="0" applyNumberFormat="1" applyFont="1" applyFill="1" applyBorder="1" applyAlignment="1">
      <alignment horizontal="center" vertical="center" wrapText="1"/>
    </xf>
    <xf numFmtId="2" fontId="22" fillId="36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/>
    </xf>
    <xf numFmtId="2" fontId="20" fillId="36" borderId="10" xfId="0" applyNumberFormat="1" applyFont="1" applyFill="1" applyBorder="1" applyAlignment="1">
      <alignment horizontal="center"/>
    </xf>
    <xf numFmtId="164" fontId="20" fillId="38" borderId="10" xfId="0" applyNumberFormat="1" applyFont="1" applyFill="1" applyBorder="1" applyAlignment="1">
      <alignment horizontal="center" vertical="center"/>
    </xf>
    <xf numFmtId="2" fontId="20" fillId="38" borderId="10" xfId="0" applyNumberFormat="1" applyFont="1" applyFill="1" applyBorder="1" applyAlignment="1">
      <alignment horizontal="center" vertical="center"/>
    </xf>
    <xf numFmtId="164" fontId="20" fillId="36" borderId="10" xfId="0" applyNumberFormat="1" applyFont="1" applyFill="1" applyBorder="1" applyAlignment="1">
      <alignment/>
    </xf>
    <xf numFmtId="164" fontId="23" fillId="36" borderId="10" xfId="0" applyNumberFormat="1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1" fontId="20" fillId="33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1" fontId="20" fillId="33" borderId="0" xfId="0" applyNumberFormat="1" applyFont="1" applyFill="1" applyAlignment="1">
      <alignment/>
    </xf>
    <xf numFmtId="0" fontId="61" fillId="0" borderId="0" xfId="0" applyFont="1" applyAlignment="1">
      <alignment/>
    </xf>
    <xf numFmtId="2" fontId="26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0" fillId="37" borderId="10" xfId="0" applyNumberFormat="1" applyFont="1" applyFill="1" applyBorder="1" applyAlignment="1">
      <alignment horizontal="center" vertical="center"/>
    </xf>
    <xf numFmtId="164" fontId="22" fillId="37" borderId="10" xfId="0" applyNumberFormat="1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4"/>
  <sheetViews>
    <sheetView tabSelected="1" view="pageBreakPreview" zoomScaleSheetLayoutView="100" zoomScalePageLayoutView="0" workbookViewId="0" topLeftCell="N1">
      <selection activeCell="W404" sqref="W404"/>
    </sheetView>
  </sheetViews>
  <sheetFormatPr defaultColWidth="9.140625" defaultRowHeight="15"/>
  <cols>
    <col min="1" max="1" width="5.28125" style="211" customWidth="1"/>
    <col min="2" max="2" width="32.28125" style="212" customWidth="1"/>
    <col min="3" max="3" width="13.00390625" style="209" customWidth="1"/>
    <col min="4" max="4" width="12.00390625" style="210" customWidth="1"/>
    <col min="5" max="5" width="11.140625" style="211" customWidth="1"/>
    <col min="6" max="6" width="10.28125" style="211" customWidth="1"/>
    <col min="7" max="8" width="11.421875" style="212" customWidth="1"/>
    <col min="9" max="9" width="12.7109375" style="211" customWidth="1"/>
    <col min="10" max="10" width="12.28125" style="211" customWidth="1"/>
    <col min="11" max="11" width="9.140625" style="211" customWidth="1"/>
    <col min="12" max="12" width="19.00390625" style="130" customWidth="1"/>
    <col min="13" max="13" width="6.140625" style="131" customWidth="1"/>
    <col min="14" max="14" width="6.57421875" style="211" customWidth="1"/>
    <col min="15" max="15" width="27.8515625" style="212" customWidth="1"/>
    <col min="16" max="16" width="12.421875" style="212" customWidth="1"/>
    <col min="17" max="17" width="13.00390625" style="209" customWidth="1"/>
    <col min="18" max="18" width="12.00390625" style="210" customWidth="1"/>
    <col min="19" max="19" width="11.57421875" style="211" customWidth="1"/>
    <col min="20" max="20" width="9.140625" style="211" customWidth="1"/>
    <col min="21" max="22" width="11.421875" style="212" customWidth="1"/>
    <col min="23" max="23" width="12.7109375" style="211" customWidth="1"/>
    <col min="24" max="24" width="11.8515625" style="211" customWidth="1"/>
    <col min="25" max="25" width="12.421875" style="211" customWidth="1"/>
    <col min="26" max="26" width="10.140625" style="130" customWidth="1"/>
    <col min="27" max="16384" width="9.140625" style="18" customWidth="1"/>
  </cols>
  <sheetData>
    <row r="1" spans="1:25" ht="18.75" customHeight="1">
      <c r="A1" s="129"/>
      <c r="B1" s="258"/>
      <c r="C1" s="258"/>
      <c r="D1" s="258"/>
      <c r="E1" s="258"/>
      <c r="F1" s="258"/>
      <c r="G1" s="258"/>
      <c r="H1" s="258"/>
      <c r="I1" s="258"/>
      <c r="J1" s="258"/>
      <c r="K1" s="258"/>
      <c r="N1" s="132"/>
      <c r="O1" s="133"/>
      <c r="P1" s="133"/>
      <c r="Q1" s="134"/>
      <c r="R1" s="135"/>
      <c r="S1" s="132"/>
      <c r="T1" s="132"/>
      <c r="U1" s="133"/>
      <c r="V1" s="133"/>
      <c r="W1" s="132"/>
      <c r="X1" s="259"/>
      <c r="Y1" s="259"/>
    </row>
    <row r="2" spans="1:26" ht="15">
      <c r="A2" s="132"/>
      <c r="B2" s="133"/>
      <c r="C2" s="134"/>
      <c r="D2" s="135"/>
      <c r="E2" s="132"/>
      <c r="F2" s="132"/>
      <c r="G2" s="133"/>
      <c r="H2" s="133"/>
      <c r="I2" s="132"/>
      <c r="J2" s="257" t="s">
        <v>413</v>
      </c>
      <c r="K2" s="257"/>
      <c r="L2" s="136"/>
      <c r="N2" s="132"/>
      <c r="O2" s="133"/>
      <c r="P2" s="133"/>
      <c r="Q2" s="134"/>
      <c r="R2" s="135"/>
      <c r="S2" s="132"/>
      <c r="T2" s="132"/>
      <c r="U2" s="133"/>
      <c r="V2" s="133"/>
      <c r="W2" s="132"/>
      <c r="X2" s="257" t="s">
        <v>414</v>
      </c>
      <c r="Y2" s="257"/>
      <c r="Z2" s="137"/>
    </row>
    <row r="3" spans="1:26" ht="18" customHeight="1">
      <c r="A3" s="250" t="s">
        <v>415</v>
      </c>
      <c r="B3" s="244" t="s">
        <v>416</v>
      </c>
      <c r="C3" s="260" t="s">
        <v>417</v>
      </c>
      <c r="D3" s="261"/>
      <c r="E3" s="261"/>
      <c r="F3" s="261"/>
      <c r="G3" s="261"/>
      <c r="H3" s="261"/>
      <c r="I3" s="261"/>
      <c r="J3" s="261"/>
      <c r="K3" s="262"/>
      <c r="L3" s="239" t="s">
        <v>418</v>
      </c>
      <c r="N3" s="250" t="s">
        <v>415</v>
      </c>
      <c r="O3" s="244" t="s">
        <v>416</v>
      </c>
      <c r="P3" s="242" t="s">
        <v>429</v>
      </c>
      <c r="Q3" s="256"/>
      <c r="R3" s="256"/>
      <c r="S3" s="256"/>
      <c r="T3" s="256"/>
      <c r="U3" s="256"/>
      <c r="V3" s="256"/>
      <c r="W3" s="256"/>
      <c r="X3" s="256"/>
      <c r="Y3" s="243"/>
      <c r="Z3" s="239" t="s">
        <v>418</v>
      </c>
    </row>
    <row r="4" spans="1:26" ht="101.25" customHeight="1">
      <c r="A4" s="251"/>
      <c r="B4" s="253"/>
      <c r="C4" s="254" t="s">
        <v>419</v>
      </c>
      <c r="D4" s="237" t="s">
        <v>420</v>
      </c>
      <c r="E4" s="242" t="s">
        <v>421</v>
      </c>
      <c r="F4" s="243"/>
      <c r="G4" s="244" t="s">
        <v>422</v>
      </c>
      <c r="H4" s="244" t="s">
        <v>423</v>
      </c>
      <c r="I4" s="244" t="s">
        <v>424</v>
      </c>
      <c r="J4" s="246" t="s">
        <v>425</v>
      </c>
      <c r="K4" s="247" t="s">
        <v>426</v>
      </c>
      <c r="L4" s="240"/>
      <c r="M4" s="142"/>
      <c r="N4" s="251"/>
      <c r="O4" s="253"/>
      <c r="P4" s="244" t="s">
        <v>419</v>
      </c>
      <c r="Q4" s="237" t="s">
        <v>430</v>
      </c>
      <c r="R4" s="237" t="s">
        <v>431</v>
      </c>
      <c r="S4" s="242" t="s">
        <v>421</v>
      </c>
      <c r="T4" s="243"/>
      <c r="U4" s="244" t="s">
        <v>422</v>
      </c>
      <c r="V4" s="244" t="s">
        <v>423</v>
      </c>
      <c r="W4" s="244" t="s">
        <v>424</v>
      </c>
      <c r="X4" s="246" t="s">
        <v>432</v>
      </c>
      <c r="Y4" s="247" t="s">
        <v>433</v>
      </c>
      <c r="Z4" s="240"/>
    </row>
    <row r="5" spans="1:26" ht="103.5" customHeight="1">
      <c r="A5" s="252"/>
      <c r="B5" s="245"/>
      <c r="C5" s="255"/>
      <c r="D5" s="238" t="s">
        <v>427</v>
      </c>
      <c r="E5" s="139" t="s">
        <v>427</v>
      </c>
      <c r="F5" s="139" t="s">
        <v>428</v>
      </c>
      <c r="G5" s="245"/>
      <c r="H5" s="245"/>
      <c r="I5" s="245"/>
      <c r="J5" s="248"/>
      <c r="K5" s="249"/>
      <c r="L5" s="241"/>
      <c r="M5" s="142"/>
      <c r="N5" s="252"/>
      <c r="O5" s="245"/>
      <c r="P5" s="245"/>
      <c r="Q5" s="238"/>
      <c r="R5" s="238"/>
      <c r="S5" s="139" t="s">
        <v>427</v>
      </c>
      <c r="T5" s="139" t="s">
        <v>428</v>
      </c>
      <c r="U5" s="245"/>
      <c r="V5" s="245"/>
      <c r="W5" s="245"/>
      <c r="X5" s="248"/>
      <c r="Y5" s="249"/>
      <c r="Z5" s="241"/>
    </row>
    <row r="6" spans="1:26" ht="15">
      <c r="A6" s="139">
        <v>1</v>
      </c>
      <c r="B6" s="139">
        <v>2</v>
      </c>
      <c r="C6" s="141">
        <v>3</v>
      </c>
      <c r="D6" s="141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  <c r="J6" s="139">
        <v>10</v>
      </c>
      <c r="K6" s="139">
        <v>11</v>
      </c>
      <c r="L6" s="140">
        <v>12</v>
      </c>
      <c r="M6" s="142"/>
      <c r="N6" s="139">
        <v>1</v>
      </c>
      <c r="O6" s="139">
        <v>2</v>
      </c>
      <c r="P6" s="139">
        <v>3</v>
      </c>
      <c r="Q6" s="141">
        <v>4</v>
      </c>
      <c r="R6" s="141">
        <v>5</v>
      </c>
      <c r="S6" s="139">
        <v>6</v>
      </c>
      <c r="T6" s="139">
        <v>7</v>
      </c>
      <c r="U6" s="139">
        <v>8</v>
      </c>
      <c r="V6" s="139">
        <v>9</v>
      </c>
      <c r="W6" s="139">
        <v>10</v>
      </c>
      <c r="X6" s="139">
        <v>11</v>
      </c>
      <c r="Y6" s="139">
        <v>12</v>
      </c>
      <c r="Z6" s="144">
        <v>13</v>
      </c>
    </row>
    <row r="7" spans="1:26" ht="18.75" customHeight="1">
      <c r="A7" s="233" t="s">
        <v>434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145"/>
      <c r="M7" s="146"/>
      <c r="N7" s="234" t="s">
        <v>434</v>
      </c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6"/>
    </row>
    <row r="8" spans="1:26" s="24" customFormat="1" ht="36" customHeight="1">
      <c r="A8" s="221">
        <v>1</v>
      </c>
      <c r="B8" s="148" t="s">
        <v>438</v>
      </c>
      <c r="C8" s="149" t="s">
        <v>147</v>
      </c>
      <c r="D8" s="150">
        <f>D9+D10</f>
        <v>1.81</v>
      </c>
      <c r="E8" s="151">
        <f>E9+E10</f>
        <v>6.3</v>
      </c>
      <c r="F8" s="147" t="s">
        <v>437</v>
      </c>
      <c r="G8" s="151">
        <f>E8</f>
        <v>6.3</v>
      </c>
      <c r="H8" s="147">
        <v>0</v>
      </c>
      <c r="I8" s="151">
        <f>G8-H8</f>
        <v>6.3</v>
      </c>
      <c r="J8" s="151">
        <f aca="true" t="shared" si="0" ref="J8:J33">I8-D8</f>
        <v>4.49</v>
      </c>
      <c r="K8" s="220">
        <f>MIN(J8:J10)</f>
        <v>1.0799999999999998</v>
      </c>
      <c r="L8" s="218" t="s">
        <v>435</v>
      </c>
      <c r="M8" s="131"/>
      <c r="N8" s="219">
        <v>1</v>
      </c>
      <c r="O8" s="153" t="s">
        <v>438</v>
      </c>
      <c r="P8" s="154" t="s">
        <v>147</v>
      </c>
      <c r="Q8" s="155">
        <f>Q9+Q10</f>
        <v>0.05499999999999999</v>
      </c>
      <c r="R8" s="150">
        <f aca="true" t="shared" si="1" ref="R8:R33">Q8+D8</f>
        <v>1.865</v>
      </c>
      <c r="S8" s="151">
        <v>6.3</v>
      </c>
      <c r="T8" s="147" t="s">
        <v>437</v>
      </c>
      <c r="U8" s="151">
        <f>S8</f>
        <v>6.3</v>
      </c>
      <c r="V8" s="147">
        <v>0</v>
      </c>
      <c r="W8" s="151">
        <f>U8-V8</f>
        <v>6.3</v>
      </c>
      <c r="X8" s="151">
        <f>W8-R8</f>
        <v>4.435</v>
      </c>
      <c r="Y8" s="220">
        <f>MIN(X8:X10)</f>
        <v>1.0439999999999998</v>
      </c>
      <c r="Z8" s="218" t="s">
        <v>435</v>
      </c>
    </row>
    <row r="9" spans="1:26" s="24" customFormat="1" ht="36" customHeight="1">
      <c r="A9" s="221"/>
      <c r="B9" s="148" t="s">
        <v>439</v>
      </c>
      <c r="C9" s="149">
        <v>6.3</v>
      </c>
      <c r="D9" s="150">
        <v>1.22</v>
      </c>
      <c r="E9" s="151">
        <v>2.3</v>
      </c>
      <c r="F9" s="147" t="s">
        <v>437</v>
      </c>
      <c r="G9" s="156">
        <f aca="true" t="shared" si="2" ref="G9:G66">E9</f>
        <v>2.3</v>
      </c>
      <c r="H9" s="147">
        <v>0</v>
      </c>
      <c r="I9" s="151">
        <f aca="true" t="shared" si="3" ref="I9:I66">G9-H9</f>
        <v>2.3</v>
      </c>
      <c r="J9" s="151">
        <f t="shared" si="0"/>
        <v>1.0799999999999998</v>
      </c>
      <c r="K9" s="220"/>
      <c r="L9" s="218"/>
      <c r="M9" s="131"/>
      <c r="N9" s="219"/>
      <c r="O9" s="153" t="s">
        <v>439</v>
      </c>
      <c r="P9" s="154">
        <v>6.3</v>
      </c>
      <c r="Q9" s="155">
        <f>Q87</f>
        <v>0.036</v>
      </c>
      <c r="R9" s="150">
        <f t="shared" si="1"/>
        <v>1.256</v>
      </c>
      <c r="S9" s="151">
        <v>2.3</v>
      </c>
      <c r="T9" s="147" t="s">
        <v>437</v>
      </c>
      <c r="U9" s="156">
        <f aca="true" t="shared" si="4" ref="U9:U66">S9</f>
        <v>2.3</v>
      </c>
      <c r="V9" s="147">
        <v>0</v>
      </c>
      <c r="W9" s="151">
        <f aca="true" t="shared" si="5" ref="W9:W66">U9-V9</f>
        <v>2.3</v>
      </c>
      <c r="X9" s="151">
        <f aca="true" t="shared" si="6" ref="X9:X66">W9-R9</f>
        <v>1.0439999999999998</v>
      </c>
      <c r="Y9" s="220"/>
      <c r="Z9" s="218"/>
    </row>
    <row r="10" spans="1:26" s="24" customFormat="1" ht="36.75" customHeight="1">
      <c r="A10" s="221"/>
      <c r="B10" s="148" t="s">
        <v>439</v>
      </c>
      <c r="C10" s="149">
        <v>6.3</v>
      </c>
      <c r="D10" s="150">
        <v>0.59</v>
      </c>
      <c r="E10" s="151">
        <v>4</v>
      </c>
      <c r="F10" s="147" t="s">
        <v>437</v>
      </c>
      <c r="G10" s="156">
        <f t="shared" si="2"/>
        <v>4</v>
      </c>
      <c r="H10" s="147">
        <v>0</v>
      </c>
      <c r="I10" s="151">
        <f t="shared" si="3"/>
        <v>4</v>
      </c>
      <c r="J10" s="151">
        <f t="shared" si="0"/>
        <v>3.41</v>
      </c>
      <c r="K10" s="220"/>
      <c r="L10" s="218"/>
      <c r="M10" s="131"/>
      <c r="N10" s="219"/>
      <c r="O10" s="153" t="s">
        <v>439</v>
      </c>
      <c r="P10" s="154">
        <v>6.3</v>
      </c>
      <c r="Q10" s="155">
        <f>0.009+0.005+0.005</f>
        <v>0.019</v>
      </c>
      <c r="R10" s="150">
        <f t="shared" si="1"/>
        <v>0.609</v>
      </c>
      <c r="S10" s="151">
        <v>4</v>
      </c>
      <c r="T10" s="147" t="s">
        <v>437</v>
      </c>
      <c r="U10" s="156">
        <f t="shared" si="4"/>
        <v>4</v>
      </c>
      <c r="V10" s="147">
        <v>0</v>
      </c>
      <c r="W10" s="151">
        <f t="shared" si="5"/>
        <v>4</v>
      </c>
      <c r="X10" s="151">
        <f t="shared" si="6"/>
        <v>3.391</v>
      </c>
      <c r="Y10" s="220"/>
      <c r="Z10" s="218"/>
    </row>
    <row r="11" spans="1:26" s="91" customFormat="1" ht="15">
      <c r="A11" s="157">
        <v>2</v>
      </c>
      <c r="B11" s="158" t="s">
        <v>440</v>
      </c>
      <c r="C11" s="149" t="s">
        <v>147</v>
      </c>
      <c r="D11" s="150">
        <v>0.33</v>
      </c>
      <c r="E11" s="150">
        <v>2.15</v>
      </c>
      <c r="F11" s="157" t="s">
        <v>437</v>
      </c>
      <c r="G11" s="159">
        <f t="shared" si="2"/>
        <v>2.15</v>
      </c>
      <c r="H11" s="157">
        <v>0</v>
      </c>
      <c r="I11" s="150">
        <f t="shared" si="3"/>
        <v>2.15</v>
      </c>
      <c r="J11" s="150">
        <f t="shared" si="0"/>
        <v>1.8199999999999998</v>
      </c>
      <c r="K11" s="150">
        <f>J11</f>
        <v>1.8199999999999998</v>
      </c>
      <c r="L11" s="152" t="s">
        <v>435</v>
      </c>
      <c r="M11" s="160"/>
      <c r="N11" s="161">
        <v>2</v>
      </c>
      <c r="O11" s="162" t="s">
        <v>440</v>
      </c>
      <c r="P11" s="163" t="s">
        <v>147</v>
      </c>
      <c r="Q11" s="164">
        <f>2.461+0.015</f>
        <v>2.476</v>
      </c>
      <c r="R11" s="165">
        <f t="shared" si="1"/>
        <v>2.806</v>
      </c>
      <c r="S11" s="165">
        <v>2.15</v>
      </c>
      <c r="T11" s="180" t="s">
        <v>437</v>
      </c>
      <c r="U11" s="167">
        <f t="shared" si="4"/>
        <v>2.15</v>
      </c>
      <c r="V11" s="166">
        <v>0</v>
      </c>
      <c r="W11" s="165">
        <f t="shared" si="5"/>
        <v>2.15</v>
      </c>
      <c r="X11" s="165">
        <f t="shared" si="6"/>
        <v>-0.6560000000000001</v>
      </c>
      <c r="Y11" s="165">
        <f>X11</f>
        <v>-0.6560000000000001</v>
      </c>
      <c r="Z11" s="179" t="s">
        <v>436</v>
      </c>
    </row>
    <row r="12" spans="1:26" s="24" customFormat="1" ht="36" customHeight="1">
      <c r="A12" s="231">
        <v>3</v>
      </c>
      <c r="B12" s="158" t="s">
        <v>441</v>
      </c>
      <c r="C12" s="149" t="s">
        <v>147</v>
      </c>
      <c r="D12" s="150">
        <f>D13+D14</f>
        <v>3.34</v>
      </c>
      <c r="E12" s="150">
        <f>E13+E14</f>
        <v>6.8</v>
      </c>
      <c r="F12" s="157" t="s">
        <v>437</v>
      </c>
      <c r="G12" s="159">
        <f t="shared" si="2"/>
        <v>6.8</v>
      </c>
      <c r="H12" s="157">
        <v>0</v>
      </c>
      <c r="I12" s="150">
        <f t="shared" si="3"/>
        <v>6.8</v>
      </c>
      <c r="J12" s="150">
        <f t="shared" si="0"/>
        <v>3.46</v>
      </c>
      <c r="K12" s="232">
        <f>MIN(J12:J14)</f>
        <v>0.52</v>
      </c>
      <c r="L12" s="218" t="s">
        <v>435</v>
      </c>
      <c r="M12" s="131"/>
      <c r="N12" s="219">
        <v>3</v>
      </c>
      <c r="O12" s="153" t="s">
        <v>441</v>
      </c>
      <c r="P12" s="154" t="s">
        <v>147</v>
      </c>
      <c r="Q12" s="155">
        <f>Q13+Q14</f>
        <v>0.21500000000000002</v>
      </c>
      <c r="R12" s="150">
        <f t="shared" si="1"/>
        <v>3.5549999999999997</v>
      </c>
      <c r="S12" s="150">
        <v>6.8</v>
      </c>
      <c r="T12" s="147" t="s">
        <v>437</v>
      </c>
      <c r="U12" s="156">
        <f t="shared" si="4"/>
        <v>6.8</v>
      </c>
      <c r="V12" s="147">
        <v>0</v>
      </c>
      <c r="W12" s="151">
        <f t="shared" si="5"/>
        <v>6.8</v>
      </c>
      <c r="X12" s="151">
        <f t="shared" si="6"/>
        <v>3.245</v>
      </c>
      <c r="Y12" s="220">
        <f>MIN(X12:X14)</f>
        <v>0.363</v>
      </c>
      <c r="Z12" s="218" t="s">
        <v>435</v>
      </c>
    </row>
    <row r="13" spans="1:26" s="24" customFormat="1" ht="36" customHeight="1">
      <c r="A13" s="231"/>
      <c r="B13" s="158" t="s">
        <v>439</v>
      </c>
      <c r="C13" s="149">
        <v>6.3</v>
      </c>
      <c r="D13" s="150">
        <v>0.56</v>
      </c>
      <c r="E13" s="150">
        <v>3.5</v>
      </c>
      <c r="F13" s="157" t="s">
        <v>437</v>
      </c>
      <c r="G13" s="159">
        <f t="shared" si="2"/>
        <v>3.5</v>
      </c>
      <c r="H13" s="157">
        <v>0</v>
      </c>
      <c r="I13" s="150">
        <f t="shared" si="3"/>
        <v>3.5</v>
      </c>
      <c r="J13" s="150">
        <f t="shared" si="0"/>
        <v>2.94</v>
      </c>
      <c r="K13" s="232"/>
      <c r="L13" s="218"/>
      <c r="M13" s="131"/>
      <c r="N13" s="219"/>
      <c r="O13" s="153" t="s">
        <v>439</v>
      </c>
      <c r="P13" s="154">
        <v>6.3</v>
      </c>
      <c r="Q13" s="155">
        <f>Q76</f>
        <v>0.058</v>
      </c>
      <c r="R13" s="150">
        <f t="shared" si="1"/>
        <v>0.6180000000000001</v>
      </c>
      <c r="S13" s="150">
        <v>3.5</v>
      </c>
      <c r="T13" s="147" t="s">
        <v>437</v>
      </c>
      <c r="U13" s="156">
        <f t="shared" si="4"/>
        <v>3.5</v>
      </c>
      <c r="V13" s="147">
        <v>0</v>
      </c>
      <c r="W13" s="151">
        <f t="shared" si="5"/>
        <v>3.5</v>
      </c>
      <c r="X13" s="151">
        <f t="shared" si="6"/>
        <v>2.8819999999999997</v>
      </c>
      <c r="Y13" s="220"/>
      <c r="Z13" s="218"/>
    </row>
    <row r="14" spans="1:26" s="24" customFormat="1" ht="36.75" customHeight="1">
      <c r="A14" s="231"/>
      <c r="B14" s="158" t="s">
        <v>442</v>
      </c>
      <c r="C14" s="149">
        <v>6.3</v>
      </c>
      <c r="D14" s="150">
        <v>2.78</v>
      </c>
      <c r="E14" s="150">
        <v>3.3</v>
      </c>
      <c r="F14" s="157" t="s">
        <v>437</v>
      </c>
      <c r="G14" s="159">
        <f t="shared" si="2"/>
        <v>3.3</v>
      </c>
      <c r="H14" s="157">
        <v>0</v>
      </c>
      <c r="I14" s="150">
        <f t="shared" si="3"/>
        <v>3.3</v>
      </c>
      <c r="J14" s="150">
        <f t="shared" si="0"/>
        <v>0.52</v>
      </c>
      <c r="K14" s="232"/>
      <c r="L14" s="218"/>
      <c r="M14" s="131"/>
      <c r="N14" s="219"/>
      <c r="O14" s="153" t="s">
        <v>442</v>
      </c>
      <c r="P14" s="154">
        <v>6.3</v>
      </c>
      <c r="Q14" s="155">
        <f>0.055+0.015+0.043+0.029+0.015</f>
        <v>0.15700000000000003</v>
      </c>
      <c r="R14" s="150">
        <f t="shared" si="1"/>
        <v>2.937</v>
      </c>
      <c r="S14" s="150">
        <v>3.3</v>
      </c>
      <c r="T14" s="147" t="s">
        <v>437</v>
      </c>
      <c r="U14" s="156">
        <f t="shared" si="4"/>
        <v>3.3</v>
      </c>
      <c r="V14" s="147">
        <v>0</v>
      </c>
      <c r="W14" s="151">
        <f t="shared" si="5"/>
        <v>3.3</v>
      </c>
      <c r="X14" s="151">
        <f t="shared" si="6"/>
        <v>0.363</v>
      </c>
      <c r="Y14" s="220"/>
      <c r="Z14" s="218"/>
    </row>
    <row r="15" spans="1:26" s="24" customFormat="1" ht="15">
      <c r="A15" s="147">
        <v>4</v>
      </c>
      <c r="B15" s="148" t="s">
        <v>443</v>
      </c>
      <c r="C15" s="149" t="s">
        <v>148</v>
      </c>
      <c r="D15" s="150">
        <v>0.6</v>
      </c>
      <c r="E15" s="151">
        <v>2.5</v>
      </c>
      <c r="F15" s="147" t="s">
        <v>437</v>
      </c>
      <c r="G15" s="156">
        <f t="shared" si="2"/>
        <v>2.5</v>
      </c>
      <c r="H15" s="147">
        <v>0</v>
      </c>
      <c r="I15" s="151">
        <f t="shared" si="3"/>
        <v>2.5</v>
      </c>
      <c r="J15" s="151">
        <f t="shared" si="0"/>
        <v>1.9</v>
      </c>
      <c r="K15" s="151">
        <f>J15</f>
        <v>1.9</v>
      </c>
      <c r="L15" s="152" t="s">
        <v>435</v>
      </c>
      <c r="M15" s="131"/>
      <c r="N15" s="138">
        <v>4</v>
      </c>
      <c r="O15" s="153" t="s">
        <v>443</v>
      </c>
      <c r="P15" s="154" t="s">
        <v>148</v>
      </c>
      <c r="Q15" s="155">
        <f>0.061+0.015+0.02</f>
        <v>0.096</v>
      </c>
      <c r="R15" s="150">
        <f t="shared" si="1"/>
        <v>0.696</v>
      </c>
      <c r="S15" s="151">
        <v>2.5</v>
      </c>
      <c r="T15" s="147" t="s">
        <v>437</v>
      </c>
      <c r="U15" s="156">
        <f t="shared" si="4"/>
        <v>2.5</v>
      </c>
      <c r="V15" s="147">
        <v>0</v>
      </c>
      <c r="W15" s="151">
        <f t="shared" si="5"/>
        <v>2.5</v>
      </c>
      <c r="X15" s="151">
        <f t="shared" si="6"/>
        <v>1.804</v>
      </c>
      <c r="Y15" s="151">
        <f>X15</f>
        <v>1.804</v>
      </c>
      <c r="Z15" s="152" t="s">
        <v>435</v>
      </c>
    </row>
    <row r="16" spans="1:26" s="24" customFormat="1" ht="36" customHeight="1">
      <c r="A16" s="221">
        <v>5</v>
      </c>
      <c r="B16" s="148" t="s">
        <v>444</v>
      </c>
      <c r="C16" s="149" t="s">
        <v>147</v>
      </c>
      <c r="D16" s="150">
        <f>D17+D18</f>
        <v>0.91</v>
      </c>
      <c r="E16" s="151">
        <f>E17+E18</f>
        <v>6</v>
      </c>
      <c r="F16" s="147" t="s">
        <v>437</v>
      </c>
      <c r="G16" s="156">
        <f t="shared" si="2"/>
        <v>6</v>
      </c>
      <c r="H16" s="147">
        <v>0</v>
      </c>
      <c r="I16" s="151">
        <f t="shared" si="3"/>
        <v>6</v>
      </c>
      <c r="J16" s="151">
        <f t="shared" si="0"/>
        <v>5.09</v>
      </c>
      <c r="K16" s="220">
        <f>MIN(J16:J18)</f>
        <v>1.3899999999999997</v>
      </c>
      <c r="L16" s="218" t="s">
        <v>435</v>
      </c>
      <c r="M16" s="131"/>
      <c r="N16" s="219">
        <v>5</v>
      </c>
      <c r="O16" s="153" t="s">
        <v>444</v>
      </c>
      <c r="P16" s="154" t="s">
        <v>147</v>
      </c>
      <c r="Q16" s="155">
        <f>Q17+Q18</f>
        <v>0.055</v>
      </c>
      <c r="R16" s="150">
        <f t="shared" si="1"/>
        <v>0.9650000000000001</v>
      </c>
      <c r="S16" s="151">
        <v>6</v>
      </c>
      <c r="T16" s="147" t="s">
        <v>437</v>
      </c>
      <c r="U16" s="156">
        <f t="shared" si="4"/>
        <v>6</v>
      </c>
      <c r="V16" s="147">
        <v>0</v>
      </c>
      <c r="W16" s="151">
        <f t="shared" si="5"/>
        <v>6</v>
      </c>
      <c r="X16" s="151">
        <f t="shared" si="6"/>
        <v>5.035</v>
      </c>
      <c r="Y16" s="220">
        <f>MIN(X16:X18)</f>
        <v>1.3349999999999997</v>
      </c>
      <c r="Z16" s="218" t="s">
        <v>435</v>
      </c>
    </row>
    <row r="17" spans="1:26" s="24" customFormat="1" ht="36" customHeight="1">
      <c r="A17" s="221"/>
      <c r="B17" s="148" t="s">
        <v>439</v>
      </c>
      <c r="C17" s="149">
        <v>6.3</v>
      </c>
      <c r="D17" s="150">
        <v>0</v>
      </c>
      <c r="E17" s="151">
        <v>3.7</v>
      </c>
      <c r="F17" s="147" t="s">
        <v>437</v>
      </c>
      <c r="G17" s="156">
        <f t="shared" si="2"/>
        <v>3.7</v>
      </c>
      <c r="H17" s="147">
        <v>0</v>
      </c>
      <c r="I17" s="151">
        <f t="shared" si="3"/>
        <v>3.7</v>
      </c>
      <c r="J17" s="151">
        <f t="shared" si="0"/>
        <v>3.7</v>
      </c>
      <c r="K17" s="220"/>
      <c r="L17" s="218"/>
      <c r="M17" s="131"/>
      <c r="N17" s="219"/>
      <c r="O17" s="153" t="s">
        <v>439</v>
      </c>
      <c r="P17" s="154">
        <v>6.3</v>
      </c>
      <c r="Q17" s="155">
        <v>0</v>
      </c>
      <c r="R17" s="150">
        <f t="shared" si="1"/>
        <v>0</v>
      </c>
      <c r="S17" s="151">
        <v>3.7</v>
      </c>
      <c r="T17" s="147" t="s">
        <v>437</v>
      </c>
      <c r="U17" s="156">
        <f t="shared" si="4"/>
        <v>3.7</v>
      </c>
      <c r="V17" s="147">
        <v>0</v>
      </c>
      <c r="W17" s="151">
        <f t="shared" si="5"/>
        <v>3.7</v>
      </c>
      <c r="X17" s="151">
        <f t="shared" si="6"/>
        <v>3.7</v>
      </c>
      <c r="Y17" s="220"/>
      <c r="Z17" s="218"/>
    </row>
    <row r="18" spans="1:26" s="24" customFormat="1" ht="36.75" customHeight="1">
      <c r="A18" s="221"/>
      <c r="B18" s="148" t="s">
        <v>442</v>
      </c>
      <c r="C18" s="149">
        <v>6.3</v>
      </c>
      <c r="D18" s="150">
        <v>0.91</v>
      </c>
      <c r="E18" s="151">
        <v>2.3</v>
      </c>
      <c r="F18" s="147" t="s">
        <v>437</v>
      </c>
      <c r="G18" s="156">
        <f t="shared" si="2"/>
        <v>2.3</v>
      </c>
      <c r="H18" s="147">
        <v>0</v>
      </c>
      <c r="I18" s="151">
        <f t="shared" si="3"/>
        <v>2.3</v>
      </c>
      <c r="J18" s="151">
        <f t="shared" si="0"/>
        <v>1.3899999999999997</v>
      </c>
      <c r="K18" s="220"/>
      <c r="L18" s="218"/>
      <c r="M18" s="131"/>
      <c r="N18" s="219"/>
      <c r="O18" s="153" t="s">
        <v>442</v>
      </c>
      <c r="P18" s="154">
        <v>6.3</v>
      </c>
      <c r="Q18" s="155">
        <f>0.047+0.008</f>
        <v>0.055</v>
      </c>
      <c r="R18" s="150">
        <f t="shared" si="1"/>
        <v>0.9650000000000001</v>
      </c>
      <c r="S18" s="151">
        <v>2.3</v>
      </c>
      <c r="T18" s="147" t="s">
        <v>437</v>
      </c>
      <c r="U18" s="156">
        <f t="shared" si="4"/>
        <v>2.3</v>
      </c>
      <c r="V18" s="147">
        <v>0</v>
      </c>
      <c r="W18" s="151">
        <f t="shared" si="5"/>
        <v>2.3</v>
      </c>
      <c r="X18" s="151">
        <f t="shared" si="6"/>
        <v>1.3349999999999997</v>
      </c>
      <c r="Y18" s="220"/>
      <c r="Z18" s="218"/>
    </row>
    <row r="19" spans="1:26" s="24" customFormat="1" ht="15">
      <c r="A19" s="147">
        <v>6</v>
      </c>
      <c r="B19" s="148" t="s">
        <v>445</v>
      </c>
      <c r="C19" s="149" t="s">
        <v>149</v>
      </c>
      <c r="D19" s="150">
        <v>0.3</v>
      </c>
      <c r="E19" s="151">
        <v>2.15</v>
      </c>
      <c r="F19" s="147" t="s">
        <v>437</v>
      </c>
      <c r="G19" s="156">
        <f t="shared" si="2"/>
        <v>2.15</v>
      </c>
      <c r="H19" s="147">
        <v>0</v>
      </c>
      <c r="I19" s="151">
        <f t="shared" si="3"/>
        <v>2.15</v>
      </c>
      <c r="J19" s="151">
        <f t="shared" si="0"/>
        <v>1.8499999999999999</v>
      </c>
      <c r="K19" s="151">
        <f>J19</f>
        <v>1.8499999999999999</v>
      </c>
      <c r="L19" s="152" t="s">
        <v>435</v>
      </c>
      <c r="M19" s="131"/>
      <c r="N19" s="138">
        <v>6</v>
      </c>
      <c r="O19" s="153" t="s">
        <v>445</v>
      </c>
      <c r="P19" s="154" t="s">
        <v>149</v>
      </c>
      <c r="Q19" s="155">
        <f>0.038+0.008</f>
        <v>0.046</v>
      </c>
      <c r="R19" s="150">
        <f t="shared" si="1"/>
        <v>0.346</v>
      </c>
      <c r="S19" s="151">
        <v>2.15</v>
      </c>
      <c r="T19" s="147" t="s">
        <v>437</v>
      </c>
      <c r="U19" s="156">
        <f t="shared" si="4"/>
        <v>2.15</v>
      </c>
      <c r="V19" s="147">
        <v>0</v>
      </c>
      <c r="W19" s="151">
        <f t="shared" si="5"/>
        <v>2.15</v>
      </c>
      <c r="X19" s="151">
        <f t="shared" si="6"/>
        <v>1.8039999999999998</v>
      </c>
      <c r="Y19" s="151">
        <f>X19</f>
        <v>1.8039999999999998</v>
      </c>
      <c r="Z19" s="152" t="s">
        <v>435</v>
      </c>
    </row>
    <row r="20" spans="1:26" s="24" customFormat="1" ht="15">
      <c r="A20" s="147">
        <v>7</v>
      </c>
      <c r="B20" s="148" t="s">
        <v>446</v>
      </c>
      <c r="C20" s="149" t="s">
        <v>147</v>
      </c>
      <c r="D20" s="150">
        <v>0.62</v>
      </c>
      <c r="E20" s="151">
        <v>0.67</v>
      </c>
      <c r="F20" s="147" t="s">
        <v>437</v>
      </c>
      <c r="G20" s="156">
        <f t="shared" si="2"/>
        <v>0.67</v>
      </c>
      <c r="H20" s="147">
        <v>0</v>
      </c>
      <c r="I20" s="151">
        <f t="shared" si="3"/>
        <v>0.67</v>
      </c>
      <c r="J20" s="151">
        <f t="shared" si="0"/>
        <v>0.050000000000000044</v>
      </c>
      <c r="K20" s="151">
        <f>J20</f>
        <v>0.050000000000000044</v>
      </c>
      <c r="L20" s="152" t="s">
        <v>435</v>
      </c>
      <c r="M20" s="131"/>
      <c r="N20" s="138">
        <v>7</v>
      </c>
      <c r="O20" s="153" t="s">
        <v>446</v>
      </c>
      <c r="P20" s="154" t="s">
        <v>147</v>
      </c>
      <c r="Q20" s="155">
        <v>0.0004</v>
      </c>
      <c r="R20" s="150">
        <f t="shared" si="1"/>
        <v>0.6204</v>
      </c>
      <c r="S20" s="151">
        <v>0.67</v>
      </c>
      <c r="T20" s="147" t="s">
        <v>437</v>
      </c>
      <c r="U20" s="156">
        <f t="shared" si="4"/>
        <v>0.67</v>
      </c>
      <c r="V20" s="147">
        <v>0</v>
      </c>
      <c r="W20" s="151">
        <f t="shared" si="5"/>
        <v>0.67</v>
      </c>
      <c r="X20" s="151">
        <f t="shared" si="6"/>
        <v>0.04960000000000009</v>
      </c>
      <c r="Y20" s="151">
        <f>X20</f>
        <v>0.04960000000000009</v>
      </c>
      <c r="Z20" s="152" t="s">
        <v>435</v>
      </c>
    </row>
    <row r="21" spans="1:26" s="24" customFormat="1" ht="36" customHeight="1">
      <c r="A21" s="221">
        <v>8</v>
      </c>
      <c r="B21" s="148" t="s">
        <v>447</v>
      </c>
      <c r="C21" s="149" t="s">
        <v>148</v>
      </c>
      <c r="D21" s="150">
        <f>D22+D23</f>
        <v>1.4</v>
      </c>
      <c r="E21" s="151">
        <f>E22+E23</f>
        <v>5.13</v>
      </c>
      <c r="F21" s="147" t="s">
        <v>437</v>
      </c>
      <c r="G21" s="156">
        <f t="shared" si="2"/>
        <v>5.13</v>
      </c>
      <c r="H21" s="147">
        <v>0</v>
      </c>
      <c r="I21" s="151">
        <f t="shared" si="3"/>
        <v>5.13</v>
      </c>
      <c r="J21" s="151">
        <f t="shared" si="0"/>
        <v>3.73</v>
      </c>
      <c r="K21" s="220">
        <f>MIN(J21:J23)</f>
        <v>1.13</v>
      </c>
      <c r="L21" s="218" t="s">
        <v>435</v>
      </c>
      <c r="M21" s="131"/>
      <c r="N21" s="219">
        <v>8</v>
      </c>
      <c r="O21" s="153" t="s">
        <v>447</v>
      </c>
      <c r="P21" s="154" t="s">
        <v>148</v>
      </c>
      <c r="Q21" s="155">
        <f>Q22+Q23</f>
        <v>0.6007</v>
      </c>
      <c r="R21" s="150">
        <f t="shared" si="1"/>
        <v>2.0007</v>
      </c>
      <c r="S21" s="151">
        <v>5.13</v>
      </c>
      <c r="T21" s="147" t="s">
        <v>437</v>
      </c>
      <c r="U21" s="156">
        <f t="shared" si="4"/>
        <v>5.13</v>
      </c>
      <c r="V21" s="147">
        <v>0</v>
      </c>
      <c r="W21" s="151">
        <f t="shared" si="5"/>
        <v>5.13</v>
      </c>
      <c r="X21" s="151">
        <f t="shared" si="6"/>
        <v>3.1292999999999997</v>
      </c>
      <c r="Y21" s="220">
        <f>MIN(X21:X23)</f>
        <v>0.54</v>
      </c>
      <c r="Z21" s="218" t="s">
        <v>435</v>
      </c>
    </row>
    <row r="22" spans="1:26" s="24" customFormat="1" ht="36" customHeight="1">
      <c r="A22" s="221"/>
      <c r="B22" s="148" t="s">
        <v>439</v>
      </c>
      <c r="C22" s="149">
        <v>10</v>
      </c>
      <c r="D22" s="150">
        <v>1</v>
      </c>
      <c r="E22" s="151">
        <v>3.6</v>
      </c>
      <c r="F22" s="147" t="s">
        <v>437</v>
      </c>
      <c r="G22" s="156">
        <f t="shared" si="2"/>
        <v>3.6</v>
      </c>
      <c r="H22" s="147">
        <v>0</v>
      </c>
      <c r="I22" s="151">
        <f t="shared" si="3"/>
        <v>3.6</v>
      </c>
      <c r="J22" s="151">
        <f t="shared" si="0"/>
        <v>2.6</v>
      </c>
      <c r="K22" s="220"/>
      <c r="L22" s="218"/>
      <c r="M22" s="131"/>
      <c r="N22" s="219"/>
      <c r="O22" s="153" t="s">
        <v>439</v>
      </c>
      <c r="P22" s="154">
        <v>10</v>
      </c>
      <c r="Q22" s="155">
        <f>Q65</f>
        <v>0.0107</v>
      </c>
      <c r="R22" s="150">
        <f t="shared" si="1"/>
        <v>1.0107</v>
      </c>
      <c r="S22" s="151">
        <v>3.6</v>
      </c>
      <c r="T22" s="147" t="s">
        <v>437</v>
      </c>
      <c r="U22" s="156">
        <f t="shared" si="4"/>
        <v>3.6</v>
      </c>
      <c r="V22" s="147">
        <v>0</v>
      </c>
      <c r="W22" s="151">
        <f t="shared" si="5"/>
        <v>3.6</v>
      </c>
      <c r="X22" s="151">
        <f t="shared" si="6"/>
        <v>2.5893</v>
      </c>
      <c r="Y22" s="220"/>
      <c r="Z22" s="218"/>
    </row>
    <row r="23" spans="1:26" s="24" customFormat="1" ht="36.75" customHeight="1">
      <c r="A23" s="221"/>
      <c r="B23" s="148" t="s">
        <v>442</v>
      </c>
      <c r="C23" s="149">
        <v>10</v>
      </c>
      <c r="D23" s="150">
        <v>0.4</v>
      </c>
      <c r="E23" s="151">
        <v>1.53</v>
      </c>
      <c r="F23" s="147" t="s">
        <v>437</v>
      </c>
      <c r="G23" s="156">
        <f t="shared" si="2"/>
        <v>1.53</v>
      </c>
      <c r="H23" s="147">
        <v>0</v>
      </c>
      <c r="I23" s="151">
        <f t="shared" si="3"/>
        <v>1.53</v>
      </c>
      <c r="J23" s="151">
        <f t="shared" si="0"/>
        <v>1.13</v>
      </c>
      <c r="K23" s="220"/>
      <c r="L23" s="218"/>
      <c r="M23" s="131"/>
      <c r="N23" s="219"/>
      <c r="O23" s="153" t="s">
        <v>442</v>
      </c>
      <c r="P23" s="154">
        <v>10</v>
      </c>
      <c r="Q23" s="155">
        <v>0.59</v>
      </c>
      <c r="R23" s="150">
        <f t="shared" si="1"/>
        <v>0.99</v>
      </c>
      <c r="S23" s="151">
        <v>1.53</v>
      </c>
      <c r="T23" s="147" t="s">
        <v>437</v>
      </c>
      <c r="U23" s="156">
        <f t="shared" si="4"/>
        <v>1.53</v>
      </c>
      <c r="V23" s="147">
        <v>0</v>
      </c>
      <c r="W23" s="151">
        <f t="shared" si="5"/>
        <v>1.53</v>
      </c>
      <c r="X23" s="151">
        <f t="shared" si="6"/>
        <v>0.54</v>
      </c>
      <c r="Y23" s="220"/>
      <c r="Z23" s="218"/>
    </row>
    <row r="24" spans="1:26" s="24" customFormat="1" ht="15">
      <c r="A24" s="147">
        <v>9</v>
      </c>
      <c r="B24" s="148" t="s">
        <v>448</v>
      </c>
      <c r="C24" s="149" t="s">
        <v>148</v>
      </c>
      <c r="D24" s="150">
        <v>1.2</v>
      </c>
      <c r="E24" s="151">
        <v>1.4</v>
      </c>
      <c r="F24" s="147" t="s">
        <v>437</v>
      </c>
      <c r="G24" s="156">
        <f t="shared" si="2"/>
        <v>1.4</v>
      </c>
      <c r="H24" s="147">
        <v>0</v>
      </c>
      <c r="I24" s="151">
        <f t="shared" si="3"/>
        <v>1.4</v>
      </c>
      <c r="J24" s="151">
        <f t="shared" si="0"/>
        <v>0.19999999999999996</v>
      </c>
      <c r="K24" s="151">
        <f>J24</f>
        <v>0.19999999999999996</v>
      </c>
      <c r="L24" s="152" t="s">
        <v>435</v>
      </c>
      <c r="M24" s="131"/>
      <c r="N24" s="138">
        <v>9</v>
      </c>
      <c r="O24" s="153" t="s">
        <v>448</v>
      </c>
      <c r="P24" s="154" t="s">
        <v>148</v>
      </c>
      <c r="Q24" s="155">
        <f>0.014+0.005+0.005+0.0004</f>
        <v>0.0244</v>
      </c>
      <c r="R24" s="150">
        <f t="shared" si="1"/>
        <v>1.2244</v>
      </c>
      <c r="S24" s="151">
        <v>1.4</v>
      </c>
      <c r="T24" s="147" t="s">
        <v>437</v>
      </c>
      <c r="U24" s="156">
        <f t="shared" si="4"/>
        <v>1.4</v>
      </c>
      <c r="V24" s="147">
        <v>0</v>
      </c>
      <c r="W24" s="151">
        <f t="shared" si="5"/>
        <v>1.4</v>
      </c>
      <c r="X24" s="151">
        <f t="shared" si="6"/>
        <v>0.17559999999999998</v>
      </c>
      <c r="Y24" s="151">
        <f>X24</f>
        <v>0.17559999999999998</v>
      </c>
      <c r="Z24" s="152" t="s">
        <v>435</v>
      </c>
    </row>
    <row r="25" spans="1:26" s="24" customFormat="1" ht="36" customHeight="1">
      <c r="A25" s="147">
        <v>10</v>
      </c>
      <c r="B25" s="158" t="s">
        <v>449</v>
      </c>
      <c r="C25" s="149" t="s">
        <v>149</v>
      </c>
      <c r="D25" s="150">
        <v>1.65</v>
      </c>
      <c r="E25" s="151">
        <v>1.92</v>
      </c>
      <c r="F25" s="147" t="s">
        <v>437</v>
      </c>
      <c r="G25" s="156">
        <f t="shared" si="2"/>
        <v>1.92</v>
      </c>
      <c r="H25" s="147">
        <v>0</v>
      </c>
      <c r="I25" s="151">
        <f t="shared" si="3"/>
        <v>1.92</v>
      </c>
      <c r="J25" s="151">
        <f t="shared" si="0"/>
        <v>0.27</v>
      </c>
      <c r="K25" s="151">
        <f>MIN(J25:J25)</f>
        <v>0.27</v>
      </c>
      <c r="L25" s="152" t="s">
        <v>435</v>
      </c>
      <c r="M25" s="131"/>
      <c r="N25" s="138">
        <v>10</v>
      </c>
      <c r="O25" s="153" t="s">
        <v>449</v>
      </c>
      <c r="P25" s="154" t="s">
        <v>147</v>
      </c>
      <c r="Q25" s="155">
        <f>0.025+0.021+0.002</f>
        <v>0.048</v>
      </c>
      <c r="R25" s="150">
        <f t="shared" si="1"/>
        <v>1.698</v>
      </c>
      <c r="S25" s="151">
        <v>1.92</v>
      </c>
      <c r="T25" s="147" t="s">
        <v>437</v>
      </c>
      <c r="U25" s="156">
        <f t="shared" si="4"/>
        <v>1.92</v>
      </c>
      <c r="V25" s="147">
        <v>0</v>
      </c>
      <c r="W25" s="151">
        <f t="shared" si="5"/>
        <v>1.92</v>
      </c>
      <c r="X25" s="151">
        <f t="shared" si="6"/>
        <v>0.22199999999999998</v>
      </c>
      <c r="Y25" s="151">
        <f>MIN(X25:X25)</f>
        <v>0.22199999999999998</v>
      </c>
      <c r="Z25" s="152" t="s">
        <v>435</v>
      </c>
    </row>
    <row r="26" spans="1:26" s="24" customFormat="1" ht="15">
      <c r="A26" s="147">
        <v>11</v>
      </c>
      <c r="B26" s="148" t="s">
        <v>450</v>
      </c>
      <c r="C26" s="149" t="s">
        <v>151</v>
      </c>
      <c r="D26" s="168">
        <v>0.03</v>
      </c>
      <c r="E26" s="151">
        <v>1.4</v>
      </c>
      <c r="F26" s="147" t="s">
        <v>437</v>
      </c>
      <c r="G26" s="156">
        <f t="shared" si="2"/>
        <v>1.4</v>
      </c>
      <c r="H26" s="147">
        <v>0</v>
      </c>
      <c r="I26" s="151">
        <f t="shared" si="3"/>
        <v>1.4</v>
      </c>
      <c r="J26" s="151">
        <f t="shared" si="0"/>
        <v>1.3699999999999999</v>
      </c>
      <c r="K26" s="151">
        <f>J26</f>
        <v>1.3699999999999999</v>
      </c>
      <c r="L26" s="152" t="s">
        <v>435</v>
      </c>
      <c r="M26" s="131"/>
      <c r="N26" s="138">
        <v>11</v>
      </c>
      <c r="O26" s="153" t="s">
        <v>450</v>
      </c>
      <c r="P26" s="154" t="s">
        <v>151</v>
      </c>
      <c r="Q26" s="155">
        <f>0.003+0.01</f>
        <v>0.013000000000000001</v>
      </c>
      <c r="R26" s="150">
        <f t="shared" si="1"/>
        <v>0.043</v>
      </c>
      <c r="S26" s="151">
        <v>1.4</v>
      </c>
      <c r="T26" s="147" t="s">
        <v>437</v>
      </c>
      <c r="U26" s="156">
        <f t="shared" si="4"/>
        <v>1.4</v>
      </c>
      <c r="V26" s="147">
        <v>0</v>
      </c>
      <c r="W26" s="151">
        <f t="shared" si="5"/>
        <v>1.4</v>
      </c>
      <c r="X26" s="151">
        <f t="shared" si="6"/>
        <v>1.357</v>
      </c>
      <c r="Y26" s="151">
        <f>X26</f>
        <v>1.357</v>
      </c>
      <c r="Z26" s="152" t="s">
        <v>435</v>
      </c>
    </row>
    <row r="27" spans="1:26" s="91" customFormat="1" ht="15">
      <c r="A27" s="157">
        <v>12</v>
      </c>
      <c r="B27" s="158" t="s">
        <v>451</v>
      </c>
      <c r="C27" s="149" t="s">
        <v>398</v>
      </c>
      <c r="D27" s="150">
        <v>6.46</v>
      </c>
      <c r="E27" s="150">
        <v>6.64</v>
      </c>
      <c r="F27" s="157" t="s">
        <v>437</v>
      </c>
      <c r="G27" s="159">
        <f t="shared" si="2"/>
        <v>6.64</v>
      </c>
      <c r="H27" s="157">
        <v>0</v>
      </c>
      <c r="I27" s="150">
        <f t="shared" si="3"/>
        <v>6.64</v>
      </c>
      <c r="J27" s="150">
        <f t="shared" si="0"/>
        <v>0.17999999999999972</v>
      </c>
      <c r="K27" s="150">
        <f>J27</f>
        <v>0.17999999999999972</v>
      </c>
      <c r="L27" s="152" t="s">
        <v>435</v>
      </c>
      <c r="M27" s="169"/>
      <c r="N27" s="170">
        <v>12</v>
      </c>
      <c r="O27" s="162" t="s">
        <v>451</v>
      </c>
      <c r="P27" s="163" t="s">
        <v>398</v>
      </c>
      <c r="Q27" s="164">
        <f>5.7+0.45+0.0145+0.09</f>
        <v>6.2545</v>
      </c>
      <c r="R27" s="165">
        <f t="shared" si="1"/>
        <v>12.714500000000001</v>
      </c>
      <c r="S27" s="165">
        <v>6.64</v>
      </c>
      <c r="T27" s="180" t="s">
        <v>437</v>
      </c>
      <c r="U27" s="167">
        <f t="shared" si="4"/>
        <v>6.64</v>
      </c>
      <c r="V27" s="166">
        <v>0</v>
      </c>
      <c r="W27" s="165">
        <f t="shared" si="5"/>
        <v>6.64</v>
      </c>
      <c r="X27" s="165">
        <f t="shared" si="6"/>
        <v>-6.074500000000001</v>
      </c>
      <c r="Y27" s="165">
        <f>X27</f>
        <v>-6.074500000000001</v>
      </c>
      <c r="Z27" s="179" t="s">
        <v>436</v>
      </c>
    </row>
    <row r="28" spans="1:26" s="27" customFormat="1" ht="36" customHeight="1">
      <c r="A28" s="231">
        <v>13</v>
      </c>
      <c r="B28" s="158" t="s">
        <v>452</v>
      </c>
      <c r="C28" s="149" t="s">
        <v>153</v>
      </c>
      <c r="D28" s="171">
        <f>D29+D30</f>
        <v>2.43</v>
      </c>
      <c r="E28" s="150">
        <f>E29+E30</f>
        <v>7.5</v>
      </c>
      <c r="F28" s="157" t="s">
        <v>437</v>
      </c>
      <c r="G28" s="159">
        <f t="shared" si="2"/>
        <v>7.5</v>
      </c>
      <c r="H28" s="157">
        <v>0</v>
      </c>
      <c r="I28" s="150">
        <f t="shared" si="3"/>
        <v>7.5</v>
      </c>
      <c r="J28" s="150">
        <f t="shared" si="0"/>
        <v>5.07</v>
      </c>
      <c r="K28" s="232">
        <f>MIN(J28:J30)</f>
        <v>0.6400000000000001</v>
      </c>
      <c r="L28" s="218" t="s">
        <v>435</v>
      </c>
      <c r="M28" s="131"/>
      <c r="N28" s="219">
        <v>13</v>
      </c>
      <c r="O28" s="153" t="s">
        <v>452</v>
      </c>
      <c r="P28" s="154" t="s">
        <v>153</v>
      </c>
      <c r="Q28" s="155">
        <f>Q29+Q30</f>
        <v>2.1113</v>
      </c>
      <c r="R28" s="150">
        <f t="shared" si="1"/>
        <v>4.5413</v>
      </c>
      <c r="S28" s="150">
        <v>7.5</v>
      </c>
      <c r="T28" s="147" t="s">
        <v>437</v>
      </c>
      <c r="U28" s="156">
        <f t="shared" si="4"/>
        <v>7.5</v>
      </c>
      <c r="V28" s="147">
        <v>0</v>
      </c>
      <c r="W28" s="151">
        <f t="shared" si="5"/>
        <v>7.5</v>
      </c>
      <c r="X28" s="151">
        <f t="shared" si="6"/>
        <v>2.9587000000000003</v>
      </c>
      <c r="Y28" s="220">
        <f>MIN(X28:X30)</f>
        <v>0.549</v>
      </c>
      <c r="Z28" s="224" t="s">
        <v>435</v>
      </c>
    </row>
    <row r="29" spans="1:26" s="27" customFormat="1" ht="36" customHeight="1">
      <c r="A29" s="231"/>
      <c r="B29" s="158" t="s">
        <v>439</v>
      </c>
      <c r="C29" s="149">
        <v>10</v>
      </c>
      <c r="D29" s="171">
        <v>1.97</v>
      </c>
      <c r="E29" s="150">
        <v>6.4</v>
      </c>
      <c r="F29" s="157" t="s">
        <v>437</v>
      </c>
      <c r="G29" s="159">
        <f t="shared" si="2"/>
        <v>6.4</v>
      </c>
      <c r="H29" s="157">
        <v>0</v>
      </c>
      <c r="I29" s="150">
        <f t="shared" si="3"/>
        <v>6.4</v>
      </c>
      <c r="J29" s="150">
        <f t="shared" si="0"/>
        <v>4.430000000000001</v>
      </c>
      <c r="K29" s="232"/>
      <c r="L29" s="218"/>
      <c r="M29" s="131"/>
      <c r="N29" s="219"/>
      <c r="O29" s="153" t="s">
        <v>439</v>
      </c>
      <c r="P29" s="154">
        <v>10</v>
      </c>
      <c r="Q29" s="155">
        <f>Q117+Q123+Q315+Q318+Q348</f>
        <v>2.0202999999999998</v>
      </c>
      <c r="R29" s="150">
        <f t="shared" si="1"/>
        <v>3.9902999999999995</v>
      </c>
      <c r="S29" s="150">
        <v>6.4</v>
      </c>
      <c r="T29" s="147" t="s">
        <v>437</v>
      </c>
      <c r="U29" s="156">
        <f t="shared" si="4"/>
        <v>6.4</v>
      </c>
      <c r="V29" s="147">
        <v>0</v>
      </c>
      <c r="W29" s="151">
        <f t="shared" si="5"/>
        <v>6.4</v>
      </c>
      <c r="X29" s="151">
        <f t="shared" si="6"/>
        <v>2.409700000000001</v>
      </c>
      <c r="Y29" s="220"/>
      <c r="Z29" s="224"/>
    </row>
    <row r="30" spans="1:26" s="27" customFormat="1" ht="36.75" customHeight="1">
      <c r="A30" s="231"/>
      <c r="B30" s="158" t="s">
        <v>442</v>
      </c>
      <c r="C30" s="149">
        <v>10</v>
      </c>
      <c r="D30" s="171">
        <v>0.46</v>
      </c>
      <c r="E30" s="150">
        <v>1.1</v>
      </c>
      <c r="F30" s="157" t="s">
        <v>437</v>
      </c>
      <c r="G30" s="159">
        <f t="shared" si="2"/>
        <v>1.1</v>
      </c>
      <c r="H30" s="157">
        <v>0</v>
      </c>
      <c r="I30" s="150">
        <f t="shared" si="3"/>
        <v>1.1</v>
      </c>
      <c r="J30" s="150">
        <f t="shared" si="0"/>
        <v>0.6400000000000001</v>
      </c>
      <c r="K30" s="232"/>
      <c r="L30" s="218"/>
      <c r="M30" s="131"/>
      <c r="N30" s="219"/>
      <c r="O30" s="153" t="s">
        <v>442</v>
      </c>
      <c r="P30" s="154">
        <v>10</v>
      </c>
      <c r="Q30" s="155">
        <f>0.049+0.023+0.003+0.008+0.008</f>
        <v>0.09100000000000003</v>
      </c>
      <c r="R30" s="150">
        <f t="shared" si="1"/>
        <v>0.551</v>
      </c>
      <c r="S30" s="150">
        <v>1.1</v>
      </c>
      <c r="T30" s="147" t="s">
        <v>437</v>
      </c>
      <c r="U30" s="156">
        <f t="shared" si="4"/>
        <v>1.1</v>
      </c>
      <c r="V30" s="147">
        <v>0</v>
      </c>
      <c r="W30" s="151">
        <f t="shared" si="5"/>
        <v>1.1</v>
      </c>
      <c r="X30" s="151">
        <f t="shared" si="6"/>
        <v>0.549</v>
      </c>
      <c r="Y30" s="220"/>
      <c r="Z30" s="224"/>
    </row>
    <row r="31" spans="1:26" s="24" customFormat="1" ht="15">
      <c r="A31" s="147">
        <v>14</v>
      </c>
      <c r="B31" s="148" t="s">
        <v>453</v>
      </c>
      <c r="C31" s="149" t="s">
        <v>151</v>
      </c>
      <c r="D31" s="150">
        <v>0.53</v>
      </c>
      <c r="E31" s="151">
        <v>0.8</v>
      </c>
      <c r="F31" s="147" t="s">
        <v>437</v>
      </c>
      <c r="G31" s="156">
        <f t="shared" si="2"/>
        <v>0.8</v>
      </c>
      <c r="H31" s="147">
        <v>0</v>
      </c>
      <c r="I31" s="151">
        <f t="shared" si="3"/>
        <v>0.8</v>
      </c>
      <c r="J31" s="151">
        <f t="shared" si="0"/>
        <v>0.27</v>
      </c>
      <c r="K31" s="151">
        <f>J31</f>
        <v>0.27</v>
      </c>
      <c r="L31" s="152" t="s">
        <v>435</v>
      </c>
      <c r="M31" s="131"/>
      <c r="N31" s="138">
        <v>14</v>
      </c>
      <c r="O31" s="153" t="s">
        <v>453</v>
      </c>
      <c r="P31" s="154" t="s">
        <v>151</v>
      </c>
      <c r="Q31" s="155">
        <v>0.043</v>
      </c>
      <c r="R31" s="150">
        <f t="shared" si="1"/>
        <v>0.5730000000000001</v>
      </c>
      <c r="S31" s="151">
        <v>0.8</v>
      </c>
      <c r="T31" s="147" t="s">
        <v>437</v>
      </c>
      <c r="U31" s="156">
        <f t="shared" si="4"/>
        <v>0.8</v>
      </c>
      <c r="V31" s="147">
        <v>0</v>
      </c>
      <c r="W31" s="151">
        <f t="shared" si="5"/>
        <v>0.8</v>
      </c>
      <c r="X31" s="151">
        <f t="shared" si="6"/>
        <v>0.22699999999999998</v>
      </c>
      <c r="Y31" s="151">
        <f>X31</f>
        <v>0.22699999999999998</v>
      </c>
      <c r="Z31" s="152" t="s">
        <v>435</v>
      </c>
    </row>
    <row r="32" spans="1:26" s="24" customFormat="1" ht="15">
      <c r="A32" s="147">
        <v>15</v>
      </c>
      <c r="B32" s="148" t="s">
        <v>454</v>
      </c>
      <c r="C32" s="149" t="s">
        <v>154</v>
      </c>
      <c r="D32" s="150">
        <v>0.5</v>
      </c>
      <c r="E32" s="151">
        <v>0.95</v>
      </c>
      <c r="F32" s="147" t="s">
        <v>437</v>
      </c>
      <c r="G32" s="156">
        <f t="shared" si="2"/>
        <v>0.95</v>
      </c>
      <c r="H32" s="147">
        <v>0</v>
      </c>
      <c r="I32" s="151">
        <f t="shared" si="3"/>
        <v>0.95</v>
      </c>
      <c r="J32" s="151">
        <f t="shared" si="0"/>
        <v>0.44999999999999996</v>
      </c>
      <c r="K32" s="151">
        <f aca="true" t="shared" si="7" ref="K32:K95">J32</f>
        <v>0.44999999999999996</v>
      </c>
      <c r="L32" s="152" t="s">
        <v>435</v>
      </c>
      <c r="M32" s="131"/>
      <c r="N32" s="138">
        <v>15</v>
      </c>
      <c r="O32" s="153" t="s">
        <v>454</v>
      </c>
      <c r="P32" s="154" t="s">
        <v>154</v>
      </c>
      <c r="Q32" s="155">
        <f>0.195+0.005</f>
        <v>0.2</v>
      </c>
      <c r="R32" s="150">
        <f t="shared" si="1"/>
        <v>0.7</v>
      </c>
      <c r="S32" s="151">
        <v>0.95</v>
      </c>
      <c r="T32" s="147" t="s">
        <v>437</v>
      </c>
      <c r="U32" s="156">
        <f t="shared" si="4"/>
        <v>0.95</v>
      </c>
      <c r="V32" s="147">
        <v>0</v>
      </c>
      <c r="W32" s="151">
        <f t="shared" si="5"/>
        <v>0.95</v>
      </c>
      <c r="X32" s="151">
        <f t="shared" si="6"/>
        <v>0.25</v>
      </c>
      <c r="Y32" s="151">
        <f aca="true" t="shared" si="8" ref="Y32:Y95">X32</f>
        <v>0.25</v>
      </c>
      <c r="Z32" s="152" t="s">
        <v>435</v>
      </c>
    </row>
    <row r="33" spans="1:26" s="24" customFormat="1" ht="15">
      <c r="A33" s="147">
        <v>16</v>
      </c>
      <c r="B33" s="148" t="s">
        <v>455</v>
      </c>
      <c r="C33" s="149" t="s">
        <v>151</v>
      </c>
      <c r="D33" s="150">
        <v>0.23</v>
      </c>
      <c r="E33" s="151">
        <v>0.68</v>
      </c>
      <c r="F33" s="147" t="s">
        <v>437</v>
      </c>
      <c r="G33" s="156">
        <f t="shared" si="2"/>
        <v>0.68</v>
      </c>
      <c r="H33" s="147">
        <v>0</v>
      </c>
      <c r="I33" s="151">
        <f t="shared" si="3"/>
        <v>0.68</v>
      </c>
      <c r="J33" s="151">
        <f t="shared" si="0"/>
        <v>0.45000000000000007</v>
      </c>
      <c r="K33" s="151">
        <f t="shared" si="7"/>
        <v>0.45000000000000007</v>
      </c>
      <c r="L33" s="152" t="s">
        <v>435</v>
      </c>
      <c r="M33" s="131"/>
      <c r="N33" s="138">
        <v>16</v>
      </c>
      <c r="O33" s="153" t="s">
        <v>455</v>
      </c>
      <c r="P33" s="154" t="s">
        <v>151</v>
      </c>
      <c r="Q33" s="155"/>
      <c r="R33" s="150">
        <f t="shared" si="1"/>
        <v>0.23</v>
      </c>
      <c r="S33" s="151">
        <v>0.68</v>
      </c>
      <c r="T33" s="147" t="s">
        <v>437</v>
      </c>
      <c r="U33" s="156">
        <f t="shared" si="4"/>
        <v>0.68</v>
      </c>
      <c r="V33" s="147">
        <v>0</v>
      </c>
      <c r="W33" s="151">
        <f t="shared" si="5"/>
        <v>0.68</v>
      </c>
      <c r="X33" s="151">
        <f t="shared" si="6"/>
        <v>0.45000000000000007</v>
      </c>
      <c r="Y33" s="151">
        <f t="shared" si="8"/>
        <v>0.45000000000000007</v>
      </c>
      <c r="Z33" s="152" t="s">
        <v>435</v>
      </c>
    </row>
    <row r="34" spans="1:26" s="24" customFormat="1" ht="15">
      <c r="A34" s="147">
        <v>17</v>
      </c>
      <c r="B34" s="148" t="s">
        <v>456</v>
      </c>
      <c r="C34" s="149" t="s">
        <v>151</v>
      </c>
      <c r="D34" s="150">
        <v>0.24</v>
      </c>
      <c r="E34" s="151">
        <v>1.43</v>
      </c>
      <c r="F34" s="147" t="s">
        <v>437</v>
      </c>
      <c r="G34" s="156">
        <f t="shared" si="2"/>
        <v>1.43</v>
      </c>
      <c r="H34" s="147">
        <v>0</v>
      </c>
      <c r="I34" s="151">
        <f t="shared" si="3"/>
        <v>1.43</v>
      </c>
      <c r="J34" s="151">
        <f aca="true" t="shared" si="9" ref="J34:J65">I34-D34</f>
        <v>1.19</v>
      </c>
      <c r="K34" s="151">
        <f t="shared" si="7"/>
        <v>1.19</v>
      </c>
      <c r="L34" s="152" t="s">
        <v>435</v>
      </c>
      <c r="M34" s="131"/>
      <c r="N34" s="138">
        <v>17</v>
      </c>
      <c r="O34" s="153" t="s">
        <v>456</v>
      </c>
      <c r="P34" s="154" t="s">
        <v>151</v>
      </c>
      <c r="Q34" s="155">
        <f>0.025+0.015</f>
        <v>0.04</v>
      </c>
      <c r="R34" s="150">
        <f aca="true" t="shared" si="10" ref="R34:R65">Q34+D34</f>
        <v>0.27999999999999997</v>
      </c>
      <c r="S34" s="151">
        <v>1.43</v>
      </c>
      <c r="T34" s="147" t="s">
        <v>437</v>
      </c>
      <c r="U34" s="156">
        <f t="shared" si="4"/>
        <v>1.43</v>
      </c>
      <c r="V34" s="147">
        <v>0</v>
      </c>
      <c r="W34" s="151">
        <f t="shared" si="5"/>
        <v>1.43</v>
      </c>
      <c r="X34" s="151">
        <f t="shared" si="6"/>
        <v>1.15</v>
      </c>
      <c r="Y34" s="151">
        <f t="shared" si="8"/>
        <v>1.15</v>
      </c>
      <c r="Z34" s="152" t="s">
        <v>435</v>
      </c>
    </row>
    <row r="35" spans="1:26" s="28" customFormat="1" ht="15">
      <c r="A35" s="147">
        <v>18</v>
      </c>
      <c r="B35" s="148" t="s">
        <v>457</v>
      </c>
      <c r="C35" s="149" t="s">
        <v>155</v>
      </c>
      <c r="D35" s="150">
        <v>0.56</v>
      </c>
      <c r="E35" s="151">
        <v>1.34</v>
      </c>
      <c r="F35" s="147" t="s">
        <v>437</v>
      </c>
      <c r="G35" s="156">
        <f t="shared" si="2"/>
        <v>1.34</v>
      </c>
      <c r="H35" s="147">
        <v>0</v>
      </c>
      <c r="I35" s="151">
        <f t="shared" si="3"/>
        <v>1.34</v>
      </c>
      <c r="J35" s="151">
        <f t="shared" si="9"/>
        <v>0.78</v>
      </c>
      <c r="K35" s="151">
        <f t="shared" si="7"/>
        <v>0.78</v>
      </c>
      <c r="L35" s="152" t="s">
        <v>435</v>
      </c>
      <c r="M35" s="131"/>
      <c r="N35" s="138">
        <v>18</v>
      </c>
      <c r="O35" s="153" t="s">
        <v>457</v>
      </c>
      <c r="P35" s="154" t="s">
        <v>155</v>
      </c>
      <c r="Q35" s="155">
        <f>0.037+0.008</f>
        <v>0.045</v>
      </c>
      <c r="R35" s="150">
        <f t="shared" si="10"/>
        <v>0.6050000000000001</v>
      </c>
      <c r="S35" s="151">
        <v>1.34</v>
      </c>
      <c r="T35" s="147" t="s">
        <v>437</v>
      </c>
      <c r="U35" s="156">
        <f t="shared" si="4"/>
        <v>1.34</v>
      </c>
      <c r="V35" s="147">
        <v>0</v>
      </c>
      <c r="W35" s="151">
        <f t="shared" si="5"/>
        <v>1.34</v>
      </c>
      <c r="X35" s="151">
        <f t="shared" si="6"/>
        <v>0.735</v>
      </c>
      <c r="Y35" s="151">
        <f t="shared" si="8"/>
        <v>0.735</v>
      </c>
      <c r="Z35" s="152" t="s">
        <v>435</v>
      </c>
    </row>
    <row r="36" spans="1:26" s="24" customFormat="1" ht="15">
      <c r="A36" s="147">
        <v>19</v>
      </c>
      <c r="B36" s="148" t="s">
        <v>458</v>
      </c>
      <c r="C36" s="149" t="s">
        <v>151</v>
      </c>
      <c r="D36" s="150">
        <v>0.79</v>
      </c>
      <c r="E36" s="151">
        <v>0.96</v>
      </c>
      <c r="F36" s="147" t="s">
        <v>437</v>
      </c>
      <c r="G36" s="156">
        <f t="shared" si="2"/>
        <v>0.96</v>
      </c>
      <c r="H36" s="147">
        <v>0</v>
      </c>
      <c r="I36" s="151">
        <f t="shared" si="3"/>
        <v>0.96</v>
      </c>
      <c r="J36" s="151">
        <f t="shared" si="9"/>
        <v>0.16999999999999993</v>
      </c>
      <c r="K36" s="151">
        <f t="shared" si="7"/>
        <v>0.16999999999999993</v>
      </c>
      <c r="L36" s="152" t="s">
        <v>435</v>
      </c>
      <c r="M36" s="131"/>
      <c r="N36" s="138">
        <v>19</v>
      </c>
      <c r="O36" s="153" t="s">
        <v>458</v>
      </c>
      <c r="P36" s="154" t="s">
        <v>151</v>
      </c>
      <c r="Q36" s="155">
        <v>0.006</v>
      </c>
      <c r="R36" s="150">
        <f t="shared" si="10"/>
        <v>0.796</v>
      </c>
      <c r="S36" s="151">
        <v>0.96</v>
      </c>
      <c r="T36" s="147" t="s">
        <v>437</v>
      </c>
      <c r="U36" s="156">
        <f t="shared" si="4"/>
        <v>0.96</v>
      </c>
      <c r="V36" s="147">
        <v>0</v>
      </c>
      <c r="W36" s="151">
        <f t="shared" si="5"/>
        <v>0.96</v>
      </c>
      <c r="X36" s="151">
        <f t="shared" si="6"/>
        <v>0.16399999999999992</v>
      </c>
      <c r="Y36" s="151">
        <f t="shared" si="8"/>
        <v>0.16399999999999992</v>
      </c>
      <c r="Z36" s="152" t="s">
        <v>435</v>
      </c>
    </row>
    <row r="37" spans="1:26" s="24" customFormat="1" ht="15">
      <c r="A37" s="147">
        <v>20</v>
      </c>
      <c r="B37" s="148" t="s">
        <v>459</v>
      </c>
      <c r="C37" s="149" t="s">
        <v>157</v>
      </c>
      <c r="D37" s="150">
        <v>0.83</v>
      </c>
      <c r="E37" s="151">
        <v>2.83</v>
      </c>
      <c r="F37" s="147" t="s">
        <v>437</v>
      </c>
      <c r="G37" s="156">
        <f t="shared" si="2"/>
        <v>2.83</v>
      </c>
      <c r="H37" s="147">
        <v>0</v>
      </c>
      <c r="I37" s="151">
        <f t="shared" si="3"/>
        <v>2.83</v>
      </c>
      <c r="J37" s="151">
        <f t="shared" si="9"/>
        <v>2</v>
      </c>
      <c r="K37" s="151">
        <f t="shared" si="7"/>
        <v>2</v>
      </c>
      <c r="L37" s="152" t="s">
        <v>435</v>
      </c>
      <c r="M37" s="131"/>
      <c r="N37" s="138">
        <v>20</v>
      </c>
      <c r="O37" s="153" t="s">
        <v>459</v>
      </c>
      <c r="P37" s="154" t="s">
        <v>157</v>
      </c>
      <c r="Q37" s="155">
        <f>0.246+0.025+0.1314+0.015</f>
        <v>0.4174</v>
      </c>
      <c r="R37" s="150">
        <f t="shared" si="10"/>
        <v>1.2473999999999998</v>
      </c>
      <c r="S37" s="151">
        <v>2.83</v>
      </c>
      <c r="T37" s="147" t="s">
        <v>437</v>
      </c>
      <c r="U37" s="156">
        <f t="shared" si="4"/>
        <v>2.83</v>
      </c>
      <c r="V37" s="147">
        <v>0</v>
      </c>
      <c r="W37" s="151">
        <f t="shared" si="5"/>
        <v>2.83</v>
      </c>
      <c r="X37" s="151">
        <f t="shared" si="6"/>
        <v>1.5826000000000002</v>
      </c>
      <c r="Y37" s="151">
        <f t="shared" si="8"/>
        <v>1.5826000000000002</v>
      </c>
      <c r="Z37" s="152" t="s">
        <v>435</v>
      </c>
    </row>
    <row r="38" spans="1:26" s="24" customFormat="1" ht="15">
      <c r="A38" s="147">
        <v>21</v>
      </c>
      <c r="B38" s="148" t="s">
        <v>460</v>
      </c>
      <c r="C38" s="149" t="s">
        <v>156</v>
      </c>
      <c r="D38" s="150">
        <v>0.36</v>
      </c>
      <c r="E38" s="151">
        <v>0.64</v>
      </c>
      <c r="F38" s="147" t="s">
        <v>437</v>
      </c>
      <c r="G38" s="156">
        <f t="shared" si="2"/>
        <v>0.64</v>
      </c>
      <c r="H38" s="147">
        <v>0</v>
      </c>
      <c r="I38" s="151">
        <f t="shared" si="3"/>
        <v>0.64</v>
      </c>
      <c r="J38" s="151">
        <f t="shared" si="9"/>
        <v>0.28</v>
      </c>
      <c r="K38" s="151">
        <f t="shared" si="7"/>
        <v>0.28</v>
      </c>
      <c r="L38" s="152" t="s">
        <v>435</v>
      </c>
      <c r="M38" s="131"/>
      <c r="N38" s="138">
        <v>21</v>
      </c>
      <c r="O38" s="153" t="s">
        <v>460</v>
      </c>
      <c r="P38" s="154" t="s">
        <v>156</v>
      </c>
      <c r="Q38" s="155">
        <f>0.02+0.01+0.02+0.015</f>
        <v>0.065</v>
      </c>
      <c r="R38" s="150">
        <f t="shared" si="10"/>
        <v>0.425</v>
      </c>
      <c r="S38" s="151">
        <v>0.64</v>
      </c>
      <c r="T38" s="147" t="s">
        <v>437</v>
      </c>
      <c r="U38" s="156">
        <f t="shared" si="4"/>
        <v>0.64</v>
      </c>
      <c r="V38" s="147">
        <v>0</v>
      </c>
      <c r="W38" s="151">
        <f t="shared" si="5"/>
        <v>0.64</v>
      </c>
      <c r="X38" s="151">
        <f t="shared" si="6"/>
        <v>0.21500000000000002</v>
      </c>
      <c r="Y38" s="151">
        <f t="shared" si="8"/>
        <v>0.21500000000000002</v>
      </c>
      <c r="Z38" s="152" t="s">
        <v>435</v>
      </c>
    </row>
    <row r="39" spans="1:26" s="24" customFormat="1" ht="15">
      <c r="A39" s="147">
        <v>22</v>
      </c>
      <c r="B39" s="148" t="s">
        <v>461</v>
      </c>
      <c r="C39" s="149" t="s">
        <v>155</v>
      </c>
      <c r="D39" s="150">
        <v>0.46</v>
      </c>
      <c r="E39" s="151">
        <v>1.43</v>
      </c>
      <c r="F39" s="147" t="s">
        <v>437</v>
      </c>
      <c r="G39" s="156">
        <f t="shared" si="2"/>
        <v>1.43</v>
      </c>
      <c r="H39" s="147">
        <v>0</v>
      </c>
      <c r="I39" s="151">
        <f t="shared" si="3"/>
        <v>1.43</v>
      </c>
      <c r="J39" s="151">
        <f t="shared" si="9"/>
        <v>0.97</v>
      </c>
      <c r="K39" s="151">
        <f t="shared" si="7"/>
        <v>0.97</v>
      </c>
      <c r="L39" s="152" t="s">
        <v>435</v>
      </c>
      <c r="M39" s="131"/>
      <c r="N39" s="138">
        <v>22</v>
      </c>
      <c r="O39" s="153" t="s">
        <v>461</v>
      </c>
      <c r="P39" s="154" t="s">
        <v>155</v>
      </c>
      <c r="Q39" s="155">
        <f>0.135+0.03+0.379+0.015+0.037</f>
        <v>0.5960000000000001</v>
      </c>
      <c r="R39" s="150">
        <f t="shared" si="10"/>
        <v>1.056</v>
      </c>
      <c r="S39" s="151">
        <v>1.43</v>
      </c>
      <c r="T39" s="147" t="s">
        <v>437</v>
      </c>
      <c r="U39" s="156">
        <f t="shared" si="4"/>
        <v>1.43</v>
      </c>
      <c r="V39" s="147">
        <v>0</v>
      </c>
      <c r="W39" s="151">
        <f t="shared" si="5"/>
        <v>1.43</v>
      </c>
      <c r="X39" s="151">
        <f t="shared" si="6"/>
        <v>0.3739999999999999</v>
      </c>
      <c r="Y39" s="151">
        <f t="shared" si="8"/>
        <v>0.3739999999999999</v>
      </c>
      <c r="Z39" s="152" t="s">
        <v>435</v>
      </c>
    </row>
    <row r="40" spans="1:26" s="24" customFormat="1" ht="15">
      <c r="A40" s="147">
        <v>23</v>
      </c>
      <c r="B40" s="148" t="s">
        <v>462</v>
      </c>
      <c r="C40" s="149" t="s">
        <v>151</v>
      </c>
      <c r="D40" s="150">
        <v>0.28</v>
      </c>
      <c r="E40" s="151">
        <v>2.15</v>
      </c>
      <c r="F40" s="147" t="s">
        <v>437</v>
      </c>
      <c r="G40" s="156">
        <f t="shared" si="2"/>
        <v>2.15</v>
      </c>
      <c r="H40" s="147">
        <v>0</v>
      </c>
      <c r="I40" s="151">
        <f t="shared" si="3"/>
        <v>2.15</v>
      </c>
      <c r="J40" s="151">
        <f t="shared" si="9"/>
        <v>1.8699999999999999</v>
      </c>
      <c r="K40" s="151">
        <f t="shared" si="7"/>
        <v>1.8699999999999999</v>
      </c>
      <c r="L40" s="152" t="s">
        <v>435</v>
      </c>
      <c r="M40" s="131"/>
      <c r="N40" s="138">
        <v>23</v>
      </c>
      <c r="O40" s="153" t="s">
        <v>462</v>
      </c>
      <c r="P40" s="154" t="s">
        <v>151</v>
      </c>
      <c r="Q40" s="155">
        <f>0.055+0.007+0.006+0.03+0.015</f>
        <v>0.113</v>
      </c>
      <c r="R40" s="150">
        <f t="shared" si="10"/>
        <v>0.393</v>
      </c>
      <c r="S40" s="151">
        <v>2.15</v>
      </c>
      <c r="T40" s="147" t="s">
        <v>437</v>
      </c>
      <c r="U40" s="156">
        <f t="shared" si="4"/>
        <v>2.15</v>
      </c>
      <c r="V40" s="147">
        <v>0</v>
      </c>
      <c r="W40" s="151">
        <f t="shared" si="5"/>
        <v>2.15</v>
      </c>
      <c r="X40" s="151">
        <f t="shared" si="6"/>
        <v>1.757</v>
      </c>
      <c r="Y40" s="151">
        <f t="shared" si="8"/>
        <v>1.757</v>
      </c>
      <c r="Z40" s="152" t="s">
        <v>435</v>
      </c>
    </row>
    <row r="41" spans="1:26" s="24" customFormat="1" ht="15">
      <c r="A41" s="147">
        <v>24</v>
      </c>
      <c r="B41" s="148" t="s">
        <v>463</v>
      </c>
      <c r="C41" s="149" t="s">
        <v>155</v>
      </c>
      <c r="D41" s="150">
        <v>0.84</v>
      </c>
      <c r="E41" s="151">
        <v>1.76</v>
      </c>
      <c r="F41" s="147" t="s">
        <v>437</v>
      </c>
      <c r="G41" s="156">
        <f t="shared" si="2"/>
        <v>1.76</v>
      </c>
      <c r="H41" s="147">
        <v>0</v>
      </c>
      <c r="I41" s="151">
        <f t="shared" si="3"/>
        <v>1.76</v>
      </c>
      <c r="J41" s="151">
        <f t="shared" si="9"/>
        <v>0.92</v>
      </c>
      <c r="K41" s="151">
        <f t="shared" si="7"/>
        <v>0.92</v>
      </c>
      <c r="L41" s="152" t="s">
        <v>435</v>
      </c>
      <c r="M41" s="131"/>
      <c r="N41" s="138">
        <v>24</v>
      </c>
      <c r="O41" s="153" t="s">
        <v>463</v>
      </c>
      <c r="P41" s="154" t="s">
        <v>155</v>
      </c>
      <c r="Q41" s="155">
        <f>0.284+0.012</f>
        <v>0.296</v>
      </c>
      <c r="R41" s="150">
        <f t="shared" si="10"/>
        <v>1.136</v>
      </c>
      <c r="S41" s="151">
        <v>1.76</v>
      </c>
      <c r="T41" s="147" t="s">
        <v>437</v>
      </c>
      <c r="U41" s="156">
        <f t="shared" si="4"/>
        <v>1.76</v>
      </c>
      <c r="V41" s="147">
        <v>0</v>
      </c>
      <c r="W41" s="151">
        <f t="shared" si="5"/>
        <v>1.76</v>
      </c>
      <c r="X41" s="151">
        <f t="shared" si="6"/>
        <v>0.6240000000000001</v>
      </c>
      <c r="Y41" s="151">
        <f t="shared" si="8"/>
        <v>0.6240000000000001</v>
      </c>
      <c r="Z41" s="152" t="s">
        <v>435</v>
      </c>
    </row>
    <row r="42" spans="1:26" s="24" customFormat="1" ht="15">
      <c r="A42" s="147">
        <v>25</v>
      </c>
      <c r="B42" s="148" t="s">
        <v>464</v>
      </c>
      <c r="C42" s="149" t="s">
        <v>352</v>
      </c>
      <c r="D42" s="150">
        <v>0.4</v>
      </c>
      <c r="E42" s="151">
        <v>0.76</v>
      </c>
      <c r="F42" s="147" t="s">
        <v>437</v>
      </c>
      <c r="G42" s="156">
        <f t="shared" si="2"/>
        <v>0.76</v>
      </c>
      <c r="H42" s="147">
        <v>0</v>
      </c>
      <c r="I42" s="151">
        <f t="shared" si="3"/>
        <v>0.76</v>
      </c>
      <c r="J42" s="151">
        <f t="shared" si="9"/>
        <v>0.36</v>
      </c>
      <c r="K42" s="151">
        <f t="shared" si="7"/>
        <v>0.36</v>
      </c>
      <c r="L42" s="152" t="s">
        <v>435</v>
      </c>
      <c r="M42" s="131"/>
      <c r="N42" s="138">
        <v>25</v>
      </c>
      <c r="O42" s="153" t="s">
        <v>464</v>
      </c>
      <c r="P42" s="154" t="s">
        <v>352</v>
      </c>
      <c r="Q42" s="155"/>
      <c r="R42" s="150">
        <f t="shared" si="10"/>
        <v>0.4</v>
      </c>
      <c r="S42" s="151">
        <v>0.76</v>
      </c>
      <c r="T42" s="147" t="s">
        <v>437</v>
      </c>
      <c r="U42" s="156">
        <f t="shared" si="4"/>
        <v>0.76</v>
      </c>
      <c r="V42" s="147">
        <v>0</v>
      </c>
      <c r="W42" s="151">
        <f t="shared" si="5"/>
        <v>0.76</v>
      </c>
      <c r="X42" s="151">
        <f t="shared" si="6"/>
        <v>0.36</v>
      </c>
      <c r="Y42" s="151">
        <f t="shared" si="8"/>
        <v>0.36</v>
      </c>
      <c r="Z42" s="152" t="s">
        <v>435</v>
      </c>
    </row>
    <row r="43" spans="1:26" s="24" customFormat="1" ht="15">
      <c r="A43" s="147">
        <v>26</v>
      </c>
      <c r="B43" s="148" t="s">
        <v>465</v>
      </c>
      <c r="C43" s="149" t="s">
        <v>156</v>
      </c>
      <c r="D43" s="150">
        <v>0.26</v>
      </c>
      <c r="E43" s="151">
        <v>0.67</v>
      </c>
      <c r="F43" s="147" t="s">
        <v>437</v>
      </c>
      <c r="G43" s="156">
        <f t="shared" si="2"/>
        <v>0.67</v>
      </c>
      <c r="H43" s="147">
        <v>0</v>
      </c>
      <c r="I43" s="151">
        <f t="shared" si="3"/>
        <v>0.67</v>
      </c>
      <c r="J43" s="151">
        <f t="shared" si="9"/>
        <v>0.41000000000000003</v>
      </c>
      <c r="K43" s="151">
        <f t="shared" si="7"/>
        <v>0.41000000000000003</v>
      </c>
      <c r="L43" s="152" t="s">
        <v>435</v>
      </c>
      <c r="M43" s="131"/>
      <c r="N43" s="138">
        <v>26</v>
      </c>
      <c r="O43" s="153" t="s">
        <v>465</v>
      </c>
      <c r="P43" s="154" t="s">
        <v>156</v>
      </c>
      <c r="Q43" s="155">
        <v>0.014</v>
      </c>
      <c r="R43" s="150">
        <f t="shared" si="10"/>
        <v>0.274</v>
      </c>
      <c r="S43" s="151">
        <v>0.67</v>
      </c>
      <c r="T43" s="147" t="s">
        <v>437</v>
      </c>
      <c r="U43" s="156">
        <f t="shared" si="4"/>
        <v>0.67</v>
      </c>
      <c r="V43" s="147">
        <v>0</v>
      </c>
      <c r="W43" s="151">
        <f t="shared" si="5"/>
        <v>0.67</v>
      </c>
      <c r="X43" s="151">
        <f t="shared" si="6"/>
        <v>0.396</v>
      </c>
      <c r="Y43" s="151">
        <f t="shared" si="8"/>
        <v>0.396</v>
      </c>
      <c r="Z43" s="152" t="s">
        <v>435</v>
      </c>
    </row>
    <row r="44" spans="1:26" s="24" customFormat="1" ht="15">
      <c r="A44" s="147">
        <v>27</v>
      </c>
      <c r="B44" s="148" t="s">
        <v>466</v>
      </c>
      <c r="C44" s="149" t="s">
        <v>151</v>
      </c>
      <c r="D44" s="150">
        <v>0.4</v>
      </c>
      <c r="E44" s="151">
        <v>0.76</v>
      </c>
      <c r="F44" s="147" t="s">
        <v>437</v>
      </c>
      <c r="G44" s="156">
        <f t="shared" si="2"/>
        <v>0.76</v>
      </c>
      <c r="H44" s="147">
        <v>0</v>
      </c>
      <c r="I44" s="151">
        <f t="shared" si="3"/>
        <v>0.76</v>
      </c>
      <c r="J44" s="151">
        <f t="shared" si="9"/>
        <v>0.36</v>
      </c>
      <c r="K44" s="151">
        <f t="shared" si="7"/>
        <v>0.36</v>
      </c>
      <c r="L44" s="152" t="s">
        <v>435</v>
      </c>
      <c r="M44" s="131"/>
      <c r="N44" s="138">
        <v>27</v>
      </c>
      <c r="O44" s="153" t="s">
        <v>466</v>
      </c>
      <c r="P44" s="154" t="s">
        <v>151</v>
      </c>
      <c r="Q44" s="155">
        <f>0.017+0.008</f>
        <v>0.025</v>
      </c>
      <c r="R44" s="150">
        <f t="shared" si="10"/>
        <v>0.42500000000000004</v>
      </c>
      <c r="S44" s="151">
        <v>0.76</v>
      </c>
      <c r="T44" s="147" t="s">
        <v>437</v>
      </c>
      <c r="U44" s="156">
        <f t="shared" si="4"/>
        <v>0.76</v>
      </c>
      <c r="V44" s="147">
        <v>0</v>
      </c>
      <c r="W44" s="151">
        <f t="shared" si="5"/>
        <v>0.76</v>
      </c>
      <c r="X44" s="151">
        <f t="shared" si="6"/>
        <v>0.33499999999999996</v>
      </c>
      <c r="Y44" s="151">
        <f t="shared" si="8"/>
        <v>0.33499999999999996</v>
      </c>
      <c r="Z44" s="152" t="s">
        <v>435</v>
      </c>
    </row>
    <row r="45" spans="1:26" s="24" customFormat="1" ht="15">
      <c r="A45" s="147">
        <v>28</v>
      </c>
      <c r="B45" s="148" t="s">
        <v>467</v>
      </c>
      <c r="C45" s="149" t="s">
        <v>158</v>
      </c>
      <c r="D45" s="150">
        <v>0.22</v>
      </c>
      <c r="E45" s="151">
        <v>0.74</v>
      </c>
      <c r="F45" s="147" t="s">
        <v>437</v>
      </c>
      <c r="G45" s="156">
        <f t="shared" si="2"/>
        <v>0.74</v>
      </c>
      <c r="H45" s="147">
        <v>0</v>
      </c>
      <c r="I45" s="151">
        <f t="shared" si="3"/>
        <v>0.74</v>
      </c>
      <c r="J45" s="151">
        <f t="shared" si="9"/>
        <v>0.52</v>
      </c>
      <c r="K45" s="151">
        <f t="shared" si="7"/>
        <v>0.52</v>
      </c>
      <c r="L45" s="152" t="s">
        <v>435</v>
      </c>
      <c r="M45" s="131"/>
      <c r="N45" s="138">
        <v>28</v>
      </c>
      <c r="O45" s="153" t="s">
        <v>467</v>
      </c>
      <c r="P45" s="154" t="s">
        <v>158</v>
      </c>
      <c r="Q45" s="155"/>
      <c r="R45" s="150">
        <f t="shared" si="10"/>
        <v>0.22</v>
      </c>
      <c r="S45" s="151">
        <v>0.74</v>
      </c>
      <c r="T45" s="147" t="s">
        <v>437</v>
      </c>
      <c r="U45" s="156">
        <f t="shared" si="4"/>
        <v>0.74</v>
      </c>
      <c r="V45" s="147">
        <v>0</v>
      </c>
      <c r="W45" s="151">
        <f t="shared" si="5"/>
        <v>0.74</v>
      </c>
      <c r="X45" s="151">
        <f t="shared" si="6"/>
        <v>0.52</v>
      </c>
      <c r="Y45" s="151">
        <f t="shared" si="8"/>
        <v>0.52</v>
      </c>
      <c r="Z45" s="152" t="s">
        <v>435</v>
      </c>
    </row>
    <row r="46" spans="1:26" s="24" customFormat="1" ht="15">
      <c r="A46" s="147">
        <v>29</v>
      </c>
      <c r="B46" s="148" t="s">
        <v>468</v>
      </c>
      <c r="C46" s="149" t="s">
        <v>154</v>
      </c>
      <c r="D46" s="150">
        <v>0.66</v>
      </c>
      <c r="E46" s="151">
        <v>1.6</v>
      </c>
      <c r="F46" s="147">
        <v>50</v>
      </c>
      <c r="G46" s="156">
        <f t="shared" si="2"/>
        <v>1.6</v>
      </c>
      <c r="H46" s="147">
        <v>0</v>
      </c>
      <c r="I46" s="151">
        <f t="shared" si="3"/>
        <v>1.6</v>
      </c>
      <c r="J46" s="151">
        <f t="shared" si="9"/>
        <v>0.9400000000000001</v>
      </c>
      <c r="K46" s="151">
        <f t="shared" si="7"/>
        <v>0.9400000000000001</v>
      </c>
      <c r="L46" s="152" t="s">
        <v>435</v>
      </c>
      <c r="M46" s="131"/>
      <c r="N46" s="138">
        <v>29</v>
      </c>
      <c r="O46" s="153" t="s">
        <v>468</v>
      </c>
      <c r="P46" s="154" t="s">
        <v>154</v>
      </c>
      <c r="Q46" s="155">
        <f>0.037+0.003+0.015+0.006+0.01</f>
        <v>0.071</v>
      </c>
      <c r="R46" s="150">
        <f t="shared" si="10"/>
        <v>0.731</v>
      </c>
      <c r="S46" s="151">
        <v>1.6</v>
      </c>
      <c r="T46" s="147">
        <v>50</v>
      </c>
      <c r="U46" s="156">
        <f t="shared" si="4"/>
        <v>1.6</v>
      </c>
      <c r="V46" s="147">
        <v>0</v>
      </c>
      <c r="W46" s="151">
        <f t="shared" si="5"/>
        <v>1.6</v>
      </c>
      <c r="X46" s="151">
        <f t="shared" si="6"/>
        <v>0.8690000000000001</v>
      </c>
      <c r="Y46" s="151">
        <f t="shared" si="8"/>
        <v>0.8690000000000001</v>
      </c>
      <c r="Z46" s="152" t="s">
        <v>435</v>
      </c>
    </row>
    <row r="47" spans="1:26" s="24" customFormat="1" ht="15">
      <c r="A47" s="147">
        <v>30</v>
      </c>
      <c r="B47" s="148" t="s">
        <v>469</v>
      </c>
      <c r="C47" s="149" t="s">
        <v>156</v>
      </c>
      <c r="D47" s="150">
        <v>0.22</v>
      </c>
      <c r="E47" s="151">
        <v>1</v>
      </c>
      <c r="F47" s="147" t="s">
        <v>437</v>
      </c>
      <c r="G47" s="156">
        <f t="shared" si="2"/>
        <v>1</v>
      </c>
      <c r="H47" s="147">
        <v>0</v>
      </c>
      <c r="I47" s="151">
        <f t="shared" si="3"/>
        <v>1</v>
      </c>
      <c r="J47" s="151">
        <f t="shared" si="9"/>
        <v>0.78</v>
      </c>
      <c r="K47" s="151">
        <f t="shared" si="7"/>
        <v>0.78</v>
      </c>
      <c r="L47" s="152" t="s">
        <v>435</v>
      </c>
      <c r="M47" s="131"/>
      <c r="N47" s="138">
        <v>30</v>
      </c>
      <c r="O47" s="153" t="s">
        <v>469</v>
      </c>
      <c r="P47" s="154" t="s">
        <v>156</v>
      </c>
      <c r="Q47" s="155">
        <v>0.045</v>
      </c>
      <c r="R47" s="150">
        <f t="shared" si="10"/>
        <v>0.265</v>
      </c>
      <c r="S47" s="151">
        <v>1</v>
      </c>
      <c r="T47" s="147" t="s">
        <v>437</v>
      </c>
      <c r="U47" s="156">
        <f t="shared" si="4"/>
        <v>1</v>
      </c>
      <c r="V47" s="147">
        <v>0</v>
      </c>
      <c r="W47" s="151">
        <f t="shared" si="5"/>
        <v>1</v>
      </c>
      <c r="X47" s="151">
        <f t="shared" si="6"/>
        <v>0.735</v>
      </c>
      <c r="Y47" s="151">
        <f t="shared" si="8"/>
        <v>0.735</v>
      </c>
      <c r="Z47" s="152" t="s">
        <v>435</v>
      </c>
    </row>
    <row r="48" spans="1:26" s="24" customFormat="1" ht="15">
      <c r="A48" s="147">
        <v>31</v>
      </c>
      <c r="B48" s="148" t="s">
        <v>470</v>
      </c>
      <c r="C48" s="149" t="s">
        <v>156</v>
      </c>
      <c r="D48" s="150">
        <v>0.28</v>
      </c>
      <c r="E48" s="151">
        <v>1.43</v>
      </c>
      <c r="F48" s="147" t="s">
        <v>437</v>
      </c>
      <c r="G48" s="156">
        <f t="shared" si="2"/>
        <v>1.43</v>
      </c>
      <c r="H48" s="147">
        <v>0</v>
      </c>
      <c r="I48" s="151">
        <f t="shared" si="3"/>
        <v>1.43</v>
      </c>
      <c r="J48" s="151">
        <f t="shared" si="9"/>
        <v>1.15</v>
      </c>
      <c r="K48" s="151">
        <f t="shared" si="7"/>
        <v>1.15</v>
      </c>
      <c r="L48" s="152" t="s">
        <v>435</v>
      </c>
      <c r="M48" s="131"/>
      <c r="N48" s="138">
        <v>31</v>
      </c>
      <c r="O48" s="153" t="s">
        <v>470</v>
      </c>
      <c r="P48" s="154" t="s">
        <v>156</v>
      </c>
      <c r="Q48" s="155">
        <v>0.04</v>
      </c>
      <c r="R48" s="150">
        <f t="shared" si="10"/>
        <v>0.32</v>
      </c>
      <c r="S48" s="151">
        <v>1.43</v>
      </c>
      <c r="T48" s="147" t="s">
        <v>437</v>
      </c>
      <c r="U48" s="156">
        <f t="shared" si="4"/>
        <v>1.43</v>
      </c>
      <c r="V48" s="147">
        <v>0</v>
      </c>
      <c r="W48" s="151">
        <f t="shared" si="5"/>
        <v>1.43</v>
      </c>
      <c r="X48" s="151">
        <f t="shared" si="6"/>
        <v>1.1099999999999999</v>
      </c>
      <c r="Y48" s="151">
        <f t="shared" si="8"/>
        <v>1.1099999999999999</v>
      </c>
      <c r="Z48" s="152" t="s">
        <v>435</v>
      </c>
    </row>
    <row r="49" spans="1:26" s="91" customFormat="1" ht="15">
      <c r="A49" s="147">
        <v>32</v>
      </c>
      <c r="B49" s="158" t="s">
        <v>471</v>
      </c>
      <c r="C49" s="149" t="s">
        <v>399</v>
      </c>
      <c r="D49" s="150">
        <v>0.89</v>
      </c>
      <c r="E49" s="150">
        <v>1.43</v>
      </c>
      <c r="F49" s="157" t="s">
        <v>437</v>
      </c>
      <c r="G49" s="159">
        <f t="shared" si="2"/>
        <v>1.43</v>
      </c>
      <c r="H49" s="157">
        <v>0</v>
      </c>
      <c r="I49" s="150">
        <f t="shared" si="3"/>
        <v>1.43</v>
      </c>
      <c r="J49" s="150">
        <f t="shared" si="9"/>
        <v>0.5399999999999999</v>
      </c>
      <c r="K49" s="150">
        <f>J49</f>
        <v>0.5399999999999999</v>
      </c>
      <c r="L49" s="152" t="s">
        <v>435</v>
      </c>
      <c r="M49" s="169"/>
      <c r="N49" s="138">
        <v>32</v>
      </c>
      <c r="O49" s="162" t="s">
        <v>471</v>
      </c>
      <c r="P49" s="163" t="s">
        <v>400</v>
      </c>
      <c r="Q49" s="164">
        <f>3.813+0.00132+0.016+0.008</f>
        <v>3.8383200000000004</v>
      </c>
      <c r="R49" s="165">
        <f t="shared" si="10"/>
        <v>4.72832</v>
      </c>
      <c r="S49" s="165">
        <v>1.43</v>
      </c>
      <c r="T49" s="180" t="s">
        <v>437</v>
      </c>
      <c r="U49" s="167">
        <f t="shared" si="4"/>
        <v>1.43</v>
      </c>
      <c r="V49" s="166">
        <v>0</v>
      </c>
      <c r="W49" s="165">
        <f t="shared" si="5"/>
        <v>1.43</v>
      </c>
      <c r="X49" s="165">
        <f t="shared" si="6"/>
        <v>-3.2983200000000004</v>
      </c>
      <c r="Y49" s="165">
        <f t="shared" si="8"/>
        <v>-3.2983200000000004</v>
      </c>
      <c r="Z49" s="179" t="s">
        <v>436</v>
      </c>
    </row>
    <row r="50" spans="1:26" s="24" customFormat="1" ht="15">
      <c r="A50" s="147">
        <v>33</v>
      </c>
      <c r="B50" s="148" t="s">
        <v>472</v>
      </c>
      <c r="C50" s="149" t="s">
        <v>151</v>
      </c>
      <c r="D50" s="150">
        <v>0.11</v>
      </c>
      <c r="E50" s="151">
        <v>2.15</v>
      </c>
      <c r="F50" s="147" t="s">
        <v>437</v>
      </c>
      <c r="G50" s="156">
        <f t="shared" si="2"/>
        <v>2.15</v>
      </c>
      <c r="H50" s="147">
        <v>0</v>
      </c>
      <c r="I50" s="151">
        <f t="shared" si="3"/>
        <v>2.15</v>
      </c>
      <c r="J50" s="151">
        <f t="shared" si="9"/>
        <v>2.04</v>
      </c>
      <c r="K50" s="151">
        <f t="shared" si="7"/>
        <v>2.04</v>
      </c>
      <c r="L50" s="152" t="s">
        <v>435</v>
      </c>
      <c r="M50" s="131"/>
      <c r="N50" s="138">
        <v>33</v>
      </c>
      <c r="O50" s="153" t="s">
        <v>472</v>
      </c>
      <c r="P50" s="154" t="s">
        <v>151</v>
      </c>
      <c r="Q50" s="155"/>
      <c r="R50" s="150">
        <f t="shared" si="10"/>
        <v>0.11</v>
      </c>
      <c r="S50" s="151">
        <v>2.15</v>
      </c>
      <c r="T50" s="147" t="s">
        <v>437</v>
      </c>
      <c r="U50" s="156">
        <f t="shared" si="4"/>
        <v>2.15</v>
      </c>
      <c r="V50" s="147">
        <v>0</v>
      </c>
      <c r="W50" s="151">
        <f t="shared" si="5"/>
        <v>2.15</v>
      </c>
      <c r="X50" s="151">
        <f t="shared" si="6"/>
        <v>2.04</v>
      </c>
      <c r="Y50" s="151">
        <f t="shared" si="8"/>
        <v>2.04</v>
      </c>
      <c r="Z50" s="152" t="s">
        <v>435</v>
      </c>
    </row>
    <row r="51" spans="1:26" s="24" customFormat="1" ht="15">
      <c r="A51" s="147">
        <v>34</v>
      </c>
      <c r="B51" s="148" t="s">
        <v>473</v>
      </c>
      <c r="C51" s="149" t="s">
        <v>151</v>
      </c>
      <c r="D51" s="150">
        <v>0.46</v>
      </c>
      <c r="E51" s="151">
        <v>0.8</v>
      </c>
      <c r="F51" s="147" t="s">
        <v>437</v>
      </c>
      <c r="G51" s="156">
        <f t="shared" si="2"/>
        <v>0.8</v>
      </c>
      <c r="H51" s="147">
        <v>0</v>
      </c>
      <c r="I51" s="151">
        <f t="shared" si="3"/>
        <v>0.8</v>
      </c>
      <c r="J51" s="151">
        <f t="shared" si="9"/>
        <v>0.34</v>
      </c>
      <c r="K51" s="151">
        <f t="shared" si="7"/>
        <v>0.34</v>
      </c>
      <c r="L51" s="152" t="s">
        <v>435</v>
      </c>
      <c r="M51" s="131"/>
      <c r="N51" s="138">
        <v>34</v>
      </c>
      <c r="O51" s="153" t="s">
        <v>473</v>
      </c>
      <c r="P51" s="154" t="s">
        <v>151</v>
      </c>
      <c r="Q51" s="155">
        <f>0.068+0.005+0.005+0.005+0.01</f>
        <v>0.09300000000000001</v>
      </c>
      <c r="R51" s="150">
        <f t="shared" si="10"/>
        <v>0.553</v>
      </c>
      <c r="S51" s="151">
        <v>0.8</v>
      </c>
      <c r="T51" s="147" t="s">
        <v>437</v>
      </c>
      <c r="U51" s="156">
        <f t="shared" si="4"/>
        <v>0.8</v>
      </c>
      <c r="V51" s="147">
        <v>0</v>
      </c>
      <c r="W51" s="151">
        <f t="shared" si="5"/>
        <v>0.8</v>
      </c>
      <c r="X51" s="151">
        <f t="shared" si="6"/>
        <v>0.247</v>
      </c>
      <c r="Y51" s="151">
        <f t="shared" si="8"/>
        <v>0.247</v>
      </c>
      <c r="Z51" s="152" t="s">
        <v>435</v>
      </c>
    </row>
    <row r="52" spans="1:26" s="24" customFormat="1" ht="15">
      <c r="A52" s="147">
        <v>35</v>
      </c>
      <c r="B52" s="148" t="s">
        <v>474</v>
      </c>
      <c r="C52" s="149" t="s">
        <v>151</v>
      </c>
      <c r="D52" s="150">
        <v>0.6</v>
      </c>
      <c r="E52" s="151">
        <v>1.05</v>
      </c>
      <c r="F52" s="147" t="s">
        <v>437</v>
      </c>
      <c r="G52" s="156">
        <f t="shared" si="2"/>
        <v>1.05</v>
      </c>
      <c r="H52" s="147">
        <v>0</v>
      </c>
      <c r="I52" s="151">
        <f t="shared" si="3"/>
        <v>1.05</v>
      </c>
      <c r="J52" s="151">
        <f t="shared" si="9"/>
        <v>0.45000000000000007</v>
      </c>
      <c r="K52" s="151">
        <f t="shared" si="7"/>
        <v>0.45000000000000007</v>
      </c>
      <c r="L52" s="152" t="s">
        <v>435</v>
      </c>
      <c r="M52" s="131"/>
      <c r="N52" s="138">
        <v>35</v>
      </c>
      <c r="O52" s="153" t="s">
        <v>474</v>
      </c>
      <c r="P52" s="154" t="s">
        <v>151</v>
      </c>
      <c r="Q52" s="155">
        <f>0.045+0.015</f>
        <v>0.06</v>
      </c>
      <c r="R52" s="150">
        <f t="shared" si="10"/>
        <v>0.6599999999999999</v>
      </c>
      <c r="S52" s="151">
        <v>1.05</v>
      </c>
      <c r="T52" s="147" t="s">
        <v>437</v>
      </c>
      <c r="U52" s="156">
        <f t="shared" si="4"/>
        <v>1.05</v>
      </c>
      <c r="V52" s="147">
        <v>0</v>
      </c>
      <c r="W52" s="151">
        <f t="shared" si="5"/>
        <v>1.05</v>
      </c>
      <c r="X52" s="151">
        <f t="shared" si="6"/>
        <v>0.3900000000000001</v>
      </c>
      <c r="Y52" s="151">
        <f t="shared" si="8"/>
        <v>0.3900000000000001</v>
      </c>
      <c r="Z52" s="152" t="s">
        <v>435</v>
      </c>
    </row>
    <row r="53" spans="1:26" s="24" customFormat="1" ht="15">
      <c r="A53" s="147">
        <v>36</v>
      </c>
      <c r="B53" s="148" t="s">
        <v>475</v>
      </c>
      <c r="C53" s="149" t="s">
        <v>155</v>
      </c>
      <c r="D53" s="150">
        <v>1.76</v>
      </c>
      <c r="E53" s="151">
        <v>2.72</v>
      </c>
      <c r="F53" s="147" t="s">
        <v>437</v>
      </c>
      <c r="G53" s="156">
        <f t="shared" si="2"/>
        <v>2.72</v>
      </c>
      <c r="H53" s="147">
        <v>0</v>
      </c>
      <c r="I53" s="151">
        <f t="shared" si="3"/>
        <v>2.72</v>
      </c>
      <c r="J53" s="151">
        <f t="shared" si="9"/>
        <v>0.9600000000000002</v>
      </c>
      <c r="K53" s="151">
        <f t="shared" si="7"/>
        <v>0.9600000000000002</v>
      </c>
      <c r="L53" s="152" t="s">
        <v>435</v>
      </c>
      <c r="M53" s="131"/>
      <c r="N53" s="138">
        <v>36</v>
      </c>
      <c r="O53" s="162" t="s">
        <v>475</v>
      </c>
      <c r="P53" s="163" t="s">
        <v>155</v>
      </c>
      <c r="Q53" s="164">
        <f>3.545+0.02+0.015+0.018+1.21+0.036+0.015</f>
        <v>4.858999999999999</v>
      </c>
      <c r="R53" s="165">
        <f t="shared" si="10"/>
        <v>6.618999999999999</v>
      </c>
      <c r="S53" s="165">
        <v>2.72</v>
      </c>
      <c r="T53" s="180" t="s">
        <v>437</v>
      </c>
      <c r="U53" s="167">
        <f t="shared" si="4"/>
        <v>2.72</v>
      </c>
      <c r="V53" s="166">
        <v>0</v>
      </c>
      <c r="W53" s="165">
        <f t="shared" si="5"/>
        <v>2.72</v>
      </c>
      <c r="X53" s="165">
        <f t="shared" si="6"/>
        <v>-3.8989999999999987</v>
      </c>
      <c r="Y53" s="165">
        <f t="shared" si="8"/>
        <v>-3.8989999999999987</v>
      </c>
      <c r="Z53" s="179" t="s">
        <v>436</v>
      </c>
    </row>
    <row r="54" spans="1:26" s="24" customFormat="1" ht="15">
      <c r="A54" s="147">
        <v>37</v>
      </c>
      <c r="B54" s="148" t="s">
        <v>476</v>
      </c>
      <c r="C54" s="149" t="s">
        <v>151</v>
      </c>
      <c r="D54" s="150">
        <v>0.3</v>
      </c>
      <c r="E54" s="151">
        <v>1.1</v>
      </c>
      <c r="F54" s="147" t="s">
        <v>437</v>
      </c>
      <c r="G54" s="156">
        <f t="shared" si="2"/>
        <v>1.1</v>
      </c>
      <c r="H54" s="147">
        <v>0</v>
      </c>
      <c r="I54" s="151">
        <f t="shared" si="3"/>
        <v>1.1</v>
      </c>
      <c r="J54" s="151">
        <f t="shared" si="9"/>
        <v>0.8</v>
      </c>
      <c r="K54" s="151">
        <f t="shared" si="7"/>
        <v>0.8</v>
      </c>
      <c r="L54" s="152" t="s">
        <v>435</v>
      </c>
      <c r="M54" s="131"/>
      <c r="N54" s="138">
        <v>37</v>
      </c>
      <c r="O54" s="153" t="s">
        <v>476</v>
      </c>
      <c r="P54" s="154" t="s">
        <v>151</v>
      </c>
      <c r="Q54" s="155"/>
      <c r="R54" s="150">
        <f t="shared" si="10"/>
        <v>0.3</v>
      </c>
      <c r="S54" s="151">
        <v>1.1</v>
      </c>
      <c r="T54" s="147" t="s">
        <v>437</v>
      </c>
      <c r="U54" s="156">
        <f t="shared" si="4"/>
        <v>1.1</v>
      </c>
      <c r="V54" s="147">
        <v>0</v>
      </c>
      <c r="W54" s="151">
        <f t="shared" si="5"/>
        <v>1.1</v>
      </c>
      <c r="X54" s="151">
        <f t="shared" si="6"/>
        <v>0.8</v>
      </c>
      <c r="Y54" s="151">
        <f t="shared" si="8"/>
        <v>0.8</v>
      </c>
      <c r="Z54" s="152" t="s">
        <v>435</v>
      </c>
    </row>
    <row r="55" spans="1:26" s="24" customFormat="1" ht="15">
      <c r="A55" s="147">
        <v>38</v>
      </c>
      <c r="B55" s="148" t="s">
        <v>477</v>
      </c>
      <c r="C55" s="149" t="s">
        <v>151</v>
      </c>
      <c r="D55" s="150">
        <v>0.72</v>
      </c>
      <c r="E55" s="151">
        <v>0.9</v>
      </c>
      <c r="F55" s="147" t="s">
        <v>437</v>
      </c>
      <c r="G55" s="156">
        <f t="shared" si="2"/>
        <v>0.9</v>
      </c>
      <c r="H55" s="147">
        <v>0</v>
      </c>
      <c r="I55" s="151">
        <f t="shared" si="3"/>
        <v>0.9</v>
      </c>
      <c r="J55" s="151">
        <f t="shared" si="9"/>
        <v>0.18000000000000005</v>
      </c>
      <c r="K55" s="151">
        <f t="shared" si="7"/>
        <v>0.18000000000000005</v>
      </c>
      <c r="L55" s="152" t="s">
        <v>435</v>
      </c>
      <c r="M55" s="131"/>
      <c r="N55" s="138">
        <v>38</v>
      </c>
      <c r="O55" s="153" t="s">
        <v>477</v>
      </c>
      <c r="P55" s="154" t="s">
        <v>151</v>
      </c>
      <c r="Q55" s="155">
        <v>0.014</v>
      </c>
      <c r="R55" s="150">
        <f t="shared" si="10"/>
        <v>0.734</v>
      </c>
      <c r="S55" s="151">
        <v>0.9</v>
      </c>
      <c r="T55" s="147" t="s">
        <v>437</v>
      </c>
      <c r="U55" s="156">
        <f t="shared" si="4"/>
        <v>0.9</v>
      </c>
      <c r="V55" s="147">
        <v>0</v>
      </c>
      <c r="W55" s="151">
        <f t="shared" si="5"/>
        <v>0.9</v>
      </c>
      <c r="X55" s="151">
        <f t="shared" si="6"/>
        <v>0.16600000000000004</v>
      </c>
      <c r="Y55" s="151">
        <f t="shared" si="8"/>
        <v>0.16600000000000004</v>
      </c>
      <c r="Z55" s="152" t="s">
        <v>435</v>
      </c>
    </row>
    <row r="56" spans="1:26" s="24" customFormat="1" ht="15">
      <c r="A56" s="147">
        <v>39</v>
      </c>
      <c r="B56" s="148" t="s">
        <v>478</v>
      </c>
      <c r="C56" s="149" t="s">
        <v>155</v>
      </c>
      <c r="D56" s="150">
        <v>0.82</v>
      </c>
      <c r="E56" s="151">
        <v>2.1</v>
      </c>
      <c r="F56" s="147" t="s">
        <v>437</v>
      </c>
      <c r="G56" s="156">
        <f t="shared" si="2"/>
        <v>2.1</v>
      </c>
      <c r="H56" s="147">
        <v>0</v>
      </c>
      <c r="I56" s="151">
        <f t="shared" si="3"/>
        <v>2.1</v>
      </c>
      <c r="J56" s="151">
        <f t="shared" si="9"/>
        <v>1.2800000000000002</v>
      </c>
      <c r="K56" s="151">
        <f t="shared" si="7"/>
        <v>1.2800000000000002</v>
      </c>
      <c r="L56" s="152" t="s">
        <v>435</v>
      </c>
      <c r="M56" s="131"/>
      <c r="N56" s="138">
        <v>39</v>
      </c>
      <c r="O56" s="153" t="s">
        <v>478</v>
      </c>
      <c r="P56" s="154" t="s">
        <v>155</v>
      </c>
      <c r="Q56" s="155">
        <f>0.013+0.007</f>
        <v>0.02</v>
      </c>
      <c r="R56" s="150">
        <f t="shared" si="10"/>
        <v>0.84</v>
      </c>
      <c r="S56" s="151">
        <v>2.1</v>
      </c>
      <c r="T56" s="147" t="s">
        <v>437</v>
      </c>
      <c r="U56" s="156">
        <f t="shared" si="4"/>
        <v>2.1</v>
      </c>
      <c r="V56" s="147">
        <v>0</v>
      </c>
      <c r="W56" s="151">
        <f t="shared" si="5"/>
        <v>2.1</v>
      </c>
      <c r="X56" s="151">
        <f t="shared" si="6"/>
        <v>1.2600000000000002</v>
      </c>
      <c r="Y56" s="151">
        <f t="shared" si="8"/>
        <v>1.2600000000000002</v>
      </c>
      <c r="Z56" s="152" t="s">
        <v>435</v>
      </c>
    </row>
    <row r="57" spans="1:26" s="24" customFormat="1" ht="15">
      <c r="A57" s="147">
        <v>40</v>
      </c>
      <c r="B57" s="148" t="s">
        <v>479</v>
      </c>
      <c r="C57" s="149" t="s">
        <v>151</v>
      </c>
      <c r="D57" s="150">
        <v>0.45</v>
      </c>
      <c r="E57" s="151">
        <v>2.15</v>
      </c>
      <c r="F57" s="147" t="s">
        <v>437</v>
      </c>
      <c r="G57" s="156">
        <f t="shared" si="2"/>
        <v>2.15</v>
      </c>
      <c r="H57" s="147">
        <v>0</v>
      </c>
      <c r="I57" s="151">
        <f t="shared" si="3"/>
        <v>2.15</v>
      </c>
      <c r="J57" s="151">
        <f t="shared" si="9"/>
        <v>1.7</v>
      </c>
      <c r="K57" s="151">
        <f t="shared" si="7"/>
        <v>1.7</v>
      </c>
      <c r="L57" s="152" t="s">
        <v>435</v>
      </c>
      <c r="M57" s="131"/>
      <c r="N57" s="138">
        <v>40</v>
      </c>
      <c r="O57" s="153" t="s">
        <v>479</v>
      </c>
      <c r="P57" s="154" t="s">
        <v>151</v>
      </c>
      <c r="Q57" s="155">
        <v>0.032</v>
      </c>
      <c r="R57" s="150">
        <f t="shared" si="10"/>
        <v>0.482</v>
      </c>
      <c r="S57" s="151">
        <v>2.15</v>
      </c>
      <c r="T57" s="147" t="s">
        <v>437</v>
      </c>
      <c r="U57" s="156">
        <f t="shared" si="4"/>
        <v>2.15</v>
      </c>
      <c r="V57" s="147">
        <v>0</v>
      </c>
      <c r="W57" s="151">
        <f t="shared" si="5"/>
        <v>2.15</v>
      </c>
      <c r="X57" s="151">
        <f t="shared" si="6"/>
        <v>1.668</v>
      </c>
      <c r="Y57" s="151">
        <f t="shared" si="8"/>
        <v>1.668</v>
      </c>
      <c r="Z57" s="152" t="s">
        <v>435</v>
      </c>
    </row>
    <row r="58" spans="1:26" s="24" customFormat="1" ht="15">
      <c r="A58" s="147">
        <v>41</v>
      </c>
      <c r="B58" s="148" t="s">
        <v>480</v>
      </c>
      <c r="C58" s="149" t="s">
        <v>151</v>
      </c>
      <c r="D58" s="150">
        <v>0.21</v>
      </c>
      <c r="E58" s="151">
        <v>1.8</v>
      </c>
      <c r="F58" s="147" t="s">
        <v>437</v>
      </c>
      <c r="G58" s="156">
        <f t="shared" si="2"/>
        <v>1.8</v>
      </c>
      <c r="H58" s="147">
        <v>0</v>
      </c>
      <c r="I58" s="151">
        <f t="shared" si="3"/>
        <v>1.8</v>
      </c>
      <c r="J58" s="151">
        <f t="shared" si="9"/>
        <v>1.59</v>
      </c>
      <c r="K58" s="151">
        <f t="shared" si="7"/>
        <v>1.59</v>
      </c>
      <c r="L58" s="152" t="s">
        <v>435</v>
      </c>
      <c r="M58" s="131"/>
      <c r="N58" s="138">
        <v>41</v>
      </c>
      <c r="O58" s="153" t="s">
        <v>480</v>
      </c>
      <c r="P58" s="154" t="s">
        <v>151</v>
      </c>
      <c r="Q58" s="155">
        <f>0.025+0.007</f>
        <v>0.032</v>
      </c>
      <c r="R58" s="150">
        <f t="shared" si="10"/>
        <v>0.242</v>
      </c>
      <c r="S58" s="151">
        <v>1.8</v>
      </c>
      <c r="T58" s="147" t="s">
        <v>437</v>
      </c>
      <c r="U58" s="156">
        <f t="shared" si="4"/>
        <v>1.8</v>
      </c>
      <c r="V58" s="147">
        <v>0</v>
      </c>
      <c r="W58" s="151">
        <f t="shared" si="5"/>
        <v>1.8</v>
      </c>
      <c r="X58" s="151">
        <f t="shared" si="6"/>
        <v>1.558</v>
      </c>
      <c r="Y58" s="151">
        <f t="shared" si="8"/>
        <v>1.558</v>
      </c>
      <c r="Z58" s="152" t="s">
        <v>435</v>
      </c>
    </row>
    <row r="59" spans="1:26" s="24" customFormat="1" ht="15">
      <c r="A59" s="147">
        <v>42</v>
      </c>
      <c r="B59" s="148" t="s">
        <v>481</v>
      </c>
      <c r="C59" s="149" t="s">
        <v>151</v>
      </c>
      <c r="D59" s="173">
        <v>0.21</v>
      </c>
      <c r="E59" s="151">
        <v>1.5</v>
      </c>
      <c r="F59" s="147" t="s">
        <v>437</v>
      </c>
      <c r="G59" s="156">
        <f t="shared" si="2"/>
        <v>1.5</v>
      </c>
      <c r="H59" s="147">
        <v>0</v>
      </c>
      <c r="I59" s="151">
        <f t="shared" si="3"/>
        <v>1.5</v>
      </c>
      <c r="J59" s="151">
        <f t="shared" si="9"/>
        <v>1.29</v>
      </c>
      <c r="K59" s="151">
        <f t="shared" si="7"/>
        <v>1.29</v>
      </c>
      <c r="L59" s="152" t="s">
        <v>435</v>
      </c>
      <c r="M59" s="131"/>
      <c r="N59" s="138">
        <v>42</v>
      </c>
      <c r="O59" s="153" t="s">
        <v>481</v>
      </c>
      <c r="P59" s="154" t="s">
        <v>151</v>
      </c>
      <c r="Q59" s="155">
        <f>0.01+0.13</f>
        <v>0.14</v>
      </c>
      <c r="R59" s="150">
        <f t="shared" si="10"/>
        <v>0.35</v>
      </c>
      <c r="S59" s="151">
        <v>1.5</v>
      </c>
      <c r="T59" s="147" t="s">
        <v>437</v>
      </c>
      <c r="U59" s="156">
        <f t="shared" si="4"/>
        <v>1.5</v>
      </c>
      <c r="V59" s="147">
        <v>0</v>
      </c>
      <c r="W59" s="151">
        <f t="shared" si="5"/>
        <v>1.5</v>
      </c>
      <c r="X59" s="151">
        <f t="shared" si="6"/>
        <v>1.15</v>
      </c>
      <c r="Y59" s="151">
        <f t="shared" si="8"/>
        <v>1.15</v>
      </c>
      <c r="Z59" s="152" t="s">
        <v>435</v>
      </c>
    </row>
    <row r="60" spans="1:26" s="24" customFormat="1" ht="15">
      <c r="A60" s="147">
        <v>43</v>
      </c>
      <c r="B60" s="148" t="s">
        <v>482</v>
      </c>
      <c r="C60" s="149" t="s">
        <v>151</v>
      </c>
      <c r="D60" s="150">
        <v>1.26</v>
      </c>
      <c r="E60" s="151">
        <v>1.5</v>
      </c>
      <c r="F60" s="147" t="s">
        <v>437</v>
      </c>
      <c r="G60" s="156">
        <f t="shared" si="2"/>
        <v>1.5</v>
      </c>
      <c r="H60" s="147">
        <v>0</v>
      </c>
      <c r="I60" s="151">
        <f t="shared" si="3"/>
        <v>1.5</v>
      </c>
      <c r="J60" s="151">
        <f t="shared" si="9"/>
        <v>0.24</v>
      </c>
      <c r="K60" s="151">
        <f t="shared" si="7"/>
        <v>0.24</v>
      </c>
      <c r="L60" s="152" t="s">
        <v>435</v>
      </c>
      <c r="M60" s="131"/>
      <c r="N60" s="138">
        <v>43</v>
      </c>
      <c r="O60" s="153" t="s">
        <v>482</v>
      </c>
      <c r="P60" s="154" t="s">
        <v>151</v>
      </c>
      <c r="Q60" s="155">
        <v>0.02</v>
      </c>
      <c r="R60" s="150">
        <f t="shared" si="10"/>
        <v>1.28</v>
      </c>
      <c r="S60" s="151">
        <v>1.5</v>
      </c>
      <c r="T60" s="147" t="s">
        <v>437</v>
      </c>
      <c r="U60" s="156">
        <f t="shared" si="4"/>
        <v>1.5</v>
      </c>
      <c r="V60" s="147">
        <v>0</v>
      </c>
      <c r="W60" s="151">
        <f t="shared" si="5"/>
        <v>1.5</v>
      </c>
      <c r="X60" s="151">
        <f t="shared" si="6"/>
        <v>0.21999999999999997</v>
      </c>
      <c r="Y60" s="151">
        <f t="shared" si="8"/>
        <v>0.21999999999999997</v>
      </c>
      <c r="Z60" s="152" t="s">
        <v>435</v>
      </c>
    </row>
    <row r="61" spans="1:26" s="24" customFormat="1" ht="15">
      <c r="A61" s="147">
        <v>44</v>
      </c>
      <c r="B61" s="148" t="s">
        <v>483</v>
      </c>
      <c r="C61" s="149" t="s">
        <v>151</v>
      </c>
      <c r="D61" s="174">
        <v>0.53</v>
      </c>
      <c r="E61" s="151">
        <v>1.4</v>
      </c>
      <c r="F61" s="147" t="s">
        <v>437</v>
      </c>
      <c r="G61" s="156">
        <f t="shared" si="2"/>
        <v>1.4</v>
      </c>
      <c r="H61" s="147">
        <v>0</v>
      </c>
      <c r="I61" s="151">
        <f t="shared" si="3"/>
        <v>1.4</v>
      </c>
      <c r="J61" s="151">
        <f t="shared" si="9"/>
        <v>0.8699999999999999</v>
      </c>
      <c r="K61" s="151">
        <f t="shared" si="7"/>
        <v>0.8699999999999999</v>
      </c>
      <c r="L61" s="152" t="s">
        <v>435</v>
      </c>
      <c r="M61" s="131"/>
      <c r="N61" s="138">
        <v>44</v>
      </c>
      <c r="O61" s="153" t="s">
        <v>483</v>
      </c>
      <c r="P61" s="154" t="s">
        <v>151</v>
      </c>
      <c r="Q61" s="155">
        <f>0.018+0.05</f>
        <v>0.068</v>
      </c>
      <c r="R61" s="150">
        <f t="shared" si="10"/>
        <v>0.5980000000000001</v>
      </c>
      <c r="S61" s="151">
        <v>1.4</v>
      </c>
      <c r="T61" s="147" t="s">
        <v>437</v>
      </c>
      <c r="U61" s="156">
        <f t="shared" si="4"/>
        <v>1.4</v>
      </c>
      <c r="V61" s="147">
        <v>0</v>
      </c>
      <c r="W61" s="151">
        <f t="shared" si="5"/>
        <v>1.4</v>
      </c>
      <c r="X61" s="151">
        <f t="shared" si="6"/>
        <v>0.8019999999999998</v>
      </c>
      <c r="Y61" s="151">
        <f t="shared" si="8"/>
        <v>0.8019999999999998</v>
      </c>
      <c r="Z61" s="152" t="s">
        <v>435</v>
      </c>
    </row>
    <row r="62" spans="1:26" s="24" customFormat="1" ht="15">
      <c r="A62" s="147">
        <v>45</v>
      </c>
      <c r="B62" s="148" t="s">
        <v>484</v>
      </c>
      <c r="C62" s="149" t="s">
        <v>156</v>
      </c>
      <c r="D62" s="150">
        <v>0.3</v>
      </c>
      <c r="E62" s="151">
        <v>0.7</v>
      </c>
      <c r="F62" s="147" t="s">
        <v>437</v>
      </c>
      <c r="G62" s="156">
        <f t="shared" si="2"/>
        <v>0.7</v>
      </c>
      <c r="H62" s="147">
        <v>0</v>
      </c>
      <c r="I62" s="151">
        <f t="shared" si="3"/>
        <v>0.7</v>
      </c>
      <c r="J62" s="151">
        <f t="shared" si="9"/>
        <v>0.39999999999999997</v>
      </c>
      <c r="K62" s="151">
        <f t="shared" si="7"/>
        <v>0.39999999999999997</v>
      </c>
      <c r="L62" s="152" t="s">
        <v>435</v>
      </c>
      <c r="M62" s="131"/>
      <c r="N62" s="138">
        <v>45</v>
      </c>
      <c r="O62" s="153" t="s">
        <v>484</v>
      </c>
      <c r="P62" s="154" t="s">
        <v>156</v>
      </c>
      <c r="Q62" s="155">
        <v>0.07</v>
      </c>
      <c r="R62" s="150">
        <f t="shared" si="10"/>
        <v>0.37</v>
      </c>
      <c r="S62" s="151">
        <v>0.7</v>
      </c>
      <c r="T62" s="147" t="s">
        <v>437</v>
      </c>
      <c r="U62" s="156">
        <f t="shared" si="4"/>
        <v>0.7</v>
      </c>
      <c r="V62" s="147">
        <v>0</v>
      </c>
      <c r="W62" s="151">
        <f t="shared" si="5"/>
        <v>0.7</v>
      </c>
      <c r="X62" s="151">
        <f t="shared" si="6"/>
        <v>0.32999999999999996</v>
      </c>
      <c r="Y62" s="151">
        <f t="shared" si="8"/>
        <v>0.32999999999999996</v>
      </c>
      <c r="Z62" s="152" t="s">
        <v>435</v>
      </c>
    </row>
    <row r="63" spans="1:26" s="24" customFormat="1" ht="15">
      <c r="A63" s="147">
        <v>46</v>
      </c>
      <c r="B63" s="148" t="s">
        <v>485</v>
      </c>
      <c r="C63" s="149" t="s">
        <v>156</v>
      </c>
      <c r="D63" s="150">
        <v>0.57</v>
      </c>
      <c r="E63" s="151">
        <v>0.76</v>
      </c>
      <c r="F63" s="147" t="s">
        <v>437</v>
      </c>
      <c r="G63" s="156">
        <f t="shared" si="2"/>
        <v>0.76</v>
      </c>
      <c r="H63" s="147">
        <v>0</v>
      </c>
      <c r="I63" s="151">
        <f t="shared" si="3"/>
        <v>0.76</v>
      </c>
      <c r="J63" s="151">
        <f t="shared" si="9"/>
        <v>0.19000000000000006</v>
      </c>
      <c r="K63" s="151">
        <f t="shared" si="7"/>
        <v>0.19000000000000006</v>
      </c>
      <c r="L63" s="152" t="s">
        <v>435</v>
      </c>
      <c r="M63" s="131"/>
      <c r="N63" s="138">
        <v>46</v>
      </c>
      <c r="O63" s="153" t="s">
        <v>485</v>
      </c>
      <c r="P63" s="154" t="s">
        <v>156</v>
      </c>
      <c r="Q63" s="155">
        <f>0.048+0.01</f>
        <v>0.058</v>
      </c>
      <c r="R63" s="150">
        <f t="shared" si="10"/>
        <v>0.628</v>
      </c>
      <c r="S63" s="151">
        <v>0.76</v>
      </c>
      <c r="T63" s="147" t="s">
        <v>437</v>
      </c>
      <c r="U63" s="156">
        <f t="shared" si="4"/>
        <v>0.76</v>
      </c>
      <c r="V63" s="147">
        <v>0</v>
      </c>
      <c r="W63" s="151">
        <f t="shared" si="5"/>
        <v>0.76</v>
      </c>
      <c r="X63" s="151">
        <f t="shared" si="6"/>
        <v>0.132</v>
      </c>
      <c r="Y63" s="151">
        <f t="shared" si="8"/>
        <v>0.132</v>
      </c>
      <c r="Z63" s="152" t="s">
        <v>435</v>
      </c>
    </row>
    <row r="64" spans="1:26" s="24" customFormat="1" ht="15">
      <c r="A64" s="147">
        <v>47</v>
      </c>
      <c r="B64" s="148" t="s">
        <v>486</v>
      </c>
      <c r="C64" s="149" t="s">
        <v>151</v>
      </c>
      <c r="D64" s="150">
        <v>0.5</v>
      </c>
      <c r="E64" s="151">
        <v>1.1</v>
      </c>
      <c r="F64" s="147" t="s">
        <v>437</v>
      </c>
      <c r="G64" s="156">
        <f t="shared" si="2"/>
        <v>1.1</v>
      </c>
      <c r="H64" s="147">
        <v>0</v>
      </c>
      <c r="I64" s="151">
        <f t="shared" si="3"/>
        <v>1.1</v>
      </c>
      <c r="J64" s="151">
        <f t="shared" si="9"/>
        <v>0.6000000000000001</v>
      </c>
      <c r="K64" s="151">
        <f t="shared" si="7"/>
        <v>0.6000000000000001</v>
      </c>
      <c r="L64" s="152" t="s">
        <v>435</v>
      </c>
      <c r="M64" s="131"/>
      <c r="N64" s="138">
        <v>47</v>
      </c>
      <c r="O64" s="153" t="s">
        <v>486</v>
      </c>
      <c r="P64" s="154" t="s">
        <v>151</v>
      </c>
      <c r="Q64" s="155">
        <f>0.025+0.015+0.015+0.01</f>
        <v>0.065</v>
      </c>
      <c r="R64" s="150">
        <f t="shared" si="10"/>
        <v>0.565</v>
      </c>
      <c r="S64" s="151">
        <v>1.1</v>
      </c>
      <c r="T64" s="147" t="s">
        <v>437</v>
      </c>
      <c r="U64" s="156">
        <f t="shared" si="4"/>
        <v>1.1</v>
      </c>
      <c r="V64" s="147">
        <v>0</v>
      </c>
      <c r="W64" s="151">
        <f t="shared" si="5"/>
        <v>1.1</v>
      </c>
      <c r="X64" s="151">
        <f t="shared" si="6"/>
        <v>0.5350000000000001</v>
      </c>
      <c r="Y64" s="151">
        <f t="shared" si="8"/>
        <v>0.5350000000000001</v>
      </c>
      <c r="Z64" s="152" t="s">
        <v>435</v>
      </c>
    </row>
    <row r="65" spans="1:26" s="24" customFormat="1" ht="15">
      <c r="A65" s="147">
        <v>48</v>
      </c>
      <c r="B65" s="148" t="s">
        <v>487</v>
      </c>
      <c r="C65" s="149" t="s">
        <v>151</v>
      </c>
      <c r="D65" s="150">
        <v>0.85</v>
      </c>
      <c r="E65" s="151">
        <v>1.43</v>
      </c>
      <c r="F65" s="147" t="s">
        <v>437</v>
      </c>
      <c r="G65" s="156">
        <f t="shared" si="2"/>
        <v>1.43</v>
      </c>
      <c r="H65" s="147">
        <v>0</v>
      </c>
      <c r="I65" s="151">
        <f t="shared" si="3"/>
        <v>1.43</v>
      </c>
      <c r="J65" s="151">
        <f t="shared" si="9"/>
        <v>0.58</v>
      </c>
      <c r="K65" s="151">
        <f t="shared" si="7"/>
        <v>0.58</v>
      </c>
      <c r="L65" s="152" t="s">
        <v>435</v>
      </c>
      <c r="M65" s="131"/>
      <c r="N65" s="138">
        <v>48</v>
      </c>
      <c r="O65" s="153" t="s">
        <v>487</v>
      </c>
      <c r="P65" s="154" t="s">
        <v>151</v>
      </c>
      <c r="Q65" s="155">
        <f>0.0007+0.01</f>
        <v>0.0107</v>
      </c>
      <c r="R65" s="150">
        <f t="shared" si="10"/>
        <v>0.8607</v>
      </c>
      <c r="S65" s="151">
        <v>1.43</v>
      </c>
      <c r="T65" s="147" t="s">
        <v>437</v>
      </c>
      <c r="U65" s="156">
        <f t="shared" si="4"/>
        <v>1.43</v>
      </c>
      <c r="V65" s="147">
        <v>0</v>
      </c>
      <c r="W65" s="151">
        <f t="shared" si="5"/>
        <v>1.43</v>
      </c>
      <c r="X65" s="151">
        <f t="shared" si="6"/>
        <v>0.5692999999999999</v>
      </c>
      <c r="Y65" s="151">
        <f t="shared" si="8"/>
        <v>0.5692999999999999</v>
      </c>
      <c r="Z65" s="152" t="s">
        <v>435</v>
      </c>
    </row>
    <row r="66" spans="1:26" s="24" customFormat="1" ht="15">
      <c r="A66" s="147">
        <v>49</v>
      </c>
      <c r="B66" s="148" t="s">
        <v>488</v>
      </c>
      <c r="C66" s="149" t="s">
        <v>151</v>
      </c>
      <c r="D66" s="150">
        <v>0.96</v>
      </c>
      <c r="E66" s="151">
        <v>1.43</v>
      </c>
      <c r="F66" s="147" t="s">
        <v>437</v>
      </c>
      <c r="G66" s="156">
        <f t="shared" si="2"/>
        <v>1.43</v>
      </c>
      <c r="H66" s="147">
        <v>0</v>
      </c>
      <c r="I66" s="151">
        <f t="shared" si="3"/>
        <v>1.43</v>
      </c>
      <c r="J66" s="151">
        <f aca="true" t="shared" si="11" ref="J66:J97">I66-D66</f>
        <v>0.47</v>
      </c>
      <c r="K66" s="151">
        <f t="shared" si="7"/>
        <v>0.47</v>
      </c>
      <c r="L66" s="152" t="s">
        <v>435</v>
      </c>
      <c r="M66" s="131"/>
      <c r="N66" s="138">
        <v>49</v>
      </c>
      <c r="O66" s="153" t="s">
        <v>488</v>
      </c>
      <c r="P66" s="154" t="s">
        <v>151</v>
      </c>
      <c r="Q66" s="155">
        <f>0.042+0.01+0.012+0.013</f>
        <v>0.077</v>
      </c>
      <c r="R66" s="150">
        <f aca="true" t="shared" si="12" ref="R66:R97">Q66+D66</f>
        <v>1.037</v>
      </c>
      <c r="S66" s="151">
        <v>1.43</v>
      </c>
      <c r="T66" s="147" t="s">
        <v>437</v>
      </c>
      <c r="U66" s="156">
        <f t="shared" si="4"/>
        <v>1.43</v>
      </c>
      <c r="V66" s="147">
        <v>0</v>
      </c>
      <c r="W66" s="151">
        <f t="shared" si="5"/>
        <v>1.43</v>
      </c>
      <c r="X66" s="151">
        <f t="shared" si="6"/>
        <v>0.393</v>
      </c>
      <c r="Y66" s="151">
        <f t="shared" si="8"/>
        <v>0.393</v>
      </c>
      <c r="Z66" s="152" t="s">
        <v>435</v>
      </c>
    </row>
    <row r="67" spans="1:26" s="24" customFormat="1" ht="15">
      <c r="A67" s="147">
        <v>50</v>
      </c>
      <c r="B67" s="148" t="s">
        <v>489</v>
      </c>
      <c r="C67" s="149" t="s">
        <v>151</v>
      </c>
      <c r="D67" s="150">
        <v>0.61</v>
      </c>
      <c r="E67" s="151">
        <v>2.85</v>
      </c>
      <c r="F67" s="147" t="s">
        <v>437</v>
      </c>
      <c r="G67" s="156">
        <f aca="true" t="shared" si="13" ref="G67:G130">E67</f>
        <v>2.85</v>
      </c>
      <c r="H67" s="147">
        <v>0</v>
      </c>
      <c r="I67" s="151">
        <f aca="true" t="shared" si="14" ref="I67:I130">G67-H67</f>
        <v>2.85</v>
      </c>
      <c r="J67" s="151">
        <f t="shared" si="11"/>
        <v>2.24</v>
      </c>
      <c r="K67" s="151">
        <f t="shared" si="7"/>
        <v>2.24</v>
      </c>
      <c r="L67" s="152" t="s">
        <v>435</v>
      </c>
      <c r="M67" s="131"/>
      <c r="N67" s="138">
        <v>50</v>
      </c>
      <c r="O67" s="153" t="s">
        <v>489</v>
      </c>
      <c r="P67" s="154" t="s">
        <v>151</v>
      </c>
      <c r="Q67" s="155">
        <f>0.019+0.007+0.006</f>
        <v>0.032</v>
      </c>
      <c r="R67" s="150">
        <f t="shared" si="12"/>
        <v>0.642</v>
      </c>
      <c r="S67" s="151">
        <v>2.85</v>
      </c>
      <c r="T67" s="147" t="s">
        <v>437</v>
      </c>
      <c r="U67" s="156">
        <f aca="true" t="shared" si="15" ref="U67:U130">S67</f>
        <v>2.85</v>
      </c>
      <c r="V67" s="147">
        <v>0</v>
      </c>
      <c r="W67" s="151">
        <f aca="true" t="shared" si="16" ref="W67:W130">U67-V67</f>
        <v>2.85</v>
      </c>
      <c r="X67" s="151">
        <f aca="true" t="shared" si="17" ref="X67:X130">W67-R67</f>
        <v>2.208</v>
      </c>
      <c r="Y67" s="151">
        <f t="shared" si="8"/>
        <v>2.208</v>
      </c>
      <c r="Z67" s="152" t="s">
        <v>435</v>
      </c>
    </row>
    <row r="68" spans="1:26" s="24" customFormat="1" ht="15">
      <c r="A68" s="147">
        <v>51</v>
      </c>
      <c r="B68" s="148" t="s">
        <v>490</v>
      </c>
      <c r="C68" s="149" t="s">
        <v>156</v>
      </c>
      <c r="D68" s="150">
        <v>0.26</v>
      </c>
      <c r="E68" s="151">
        <v>0.94</v>
      </c>
      <c r="F68" s="147" t="s">
        <v>437</v>
      </c>
      <c r="G68" s="156">
        <f t="shared" si="13"/>
        <v>0.94</v>
      </c>
      <c r="H68" s="147">
        <v>0</v>
      </c>
      <c r="I68" s="151">
        <f t="shared" si="14"/>
        <v>0.94</v>
      </c>
      <c r="J68" s="151">
        <f t="shared" si="11"/>
        <v>0.6799999999999999</v>
      </c>
      <c r="K68" s="151">
        <f t="shared" si="7"/>
        <v>0.6799999999999999</v>
      </c>
      <c r="L68" s="152" t="s">
        <v>435</v>
      </c>
      <c r="M68" s="131"/>
      <c r="N68" s="138">
        <v>51</v>
      </c>
      <c r="O68" s="153" t="s">
        <v>490</v>
      </c>
      <c r="P68" s="154" t="s">
        <v>156</v>
      </c>
      <c r="Q68" s="155">
        <f>0.009+0.005</f>
        <v>0.013999999999999999</v>
      </c>
      <c r="R68" s="150">
        <f t="shared" si="12"/>
        <v>0.274</v>
      </c>
      <c r="S68" s="151">
        <v>0.94</v>
      </c>
      <c r="T68" s="147" t="s">
        <v>437</v>
      </c>
      <c r="U68" s="156">
        <f t="shared" si="15"/>
        <v>0.94</v>
      </c>
      <c r="V68" s="147">
        <v>0</v>
      </c>
      <c r="W68" s="151">
        <f t="shared" si="16"/>
        <v>0.94</v>
      </c>
      <c r="X68" s="151">
        <f t="shared" si="17"/>
        <v>0.6659999999999999</v>
      </c>
      <c r="Y68" s="151">
        <f t="shared" si="8"/>
        <v>0.6659999999999999</v>
      </c>
      <c r="Z68" s="152" t="s">
        <v>435</v>
      </c>
    </row>
    <row r="69" spans="1:26" s="24" customFormat="1" ht="15">
      <c r="A69" s="147">
        <v>52</v>
      </c>
      <c r="B69" s="148" t="s">
        <v>491</v>
      </c>
      <c r="C69" s="149" t="s">
        <v>151</v>
      </c>
      <c r="D69" s="150">
        <v>0.4</v>
      </c>
      <c r="E69" s="151">
        <v>1.8</v>
      </c>
      <c r="F69" s="147" t="s">
        <v>437</v>
      </c>
      <c r="G69" s="156">
        <f t="shared" si="13"/>
        <v>1.8</v>
      </c>
      <c r="H69" s="147">
        <v>0</v>
      </c>
      <c r="I69" s="151">
        <f t="shared" si="14"/>
        <v>1.8</v>
      </c>
      <c r="J69" s="151">
        <f t="shared" si="11"/>
        <v>1.4</v>
      </c>
      <c r="K69" s="151">
        <f t="shared" si="7"/>
        <v>1.4</v>
      </c>
      <c r="L69" s="152" t="s">
        <v>435</v>
      </c>
      <c r="M69" s="131"/>
      <c r="N69" s="138">
        <v>52</v>
      </c>
      <c r="O69" s="153" t="s">
        <v>491</v>
      </c>
      <c r="P69" s="154" t="s">
        <v>151</v>
      </c>
      <c r="Q69" s="155">
        <f>0.038+0.012+0.006</f>
        <v>0.056</v>
      </c>
      <c r="R69" s="150">
        <f t="shared" si="12"/>
        <v>0.456</v>
      </c>
      <c r="S69" s="151">
        <v>1.8</v>
      </c>
      <c r="T69" s="147" t="s">
        <v>437</v>
      </c>
      <c r="U69" s="156">
        <f t="shared" si="15"/>
        <v>1.8</v>
      </c>
      <c r="V69" s="147">
        <v>0</v>
      </c>
      <c r="W69" s="151">
        <f t="shared" si="16"/>
        <v>1.8</v>
      </c>
      <c r="X69" s="151">
        <f t="shared" si="17"/>
        <v>1.344</v>
      </c>
      <c r="Y69" s="151">
        <f t="shared" si="8"/>
        <v>1.344</v>
      </c>
      <c r="Z69" s="152" t="s">
        <v>435</v>
      </c>
    </row>
    <row r="70" spans="1:26" s="27" customFormat="1" ht="15">
      <c r="A70" s="147">
        <v>53</v>
      </c>
      <c r="B70" s="148" t="s">
        <v>492</v>
      </c>
      <c r="C70" s="149" t="s">
        <v>151</v>
      </c>
      <c r="D70" s="150">
        <v>0.61</v>
      </c>
      <c r="E70" s="151">
        <v>0.8</v>
      </c>
      <c r="F70" s="147" t="s">
        <v>437</v>
      </c>
      <c r="G70" s="156">
        <f t="shared" si="13"/>
        <v>0.8</v>
      </c>
      <c r="H70" s="147">
        <v>0</v>
      </c>
      <c r="I70" s="151">
        <f t="shared" si="14"/>
        <v>0.8</v>
      </c>
      <c r="J70" s="151">
        <f t="shared" si="11"/>
        <v>0.19000000000000006</v>
      </c>
      <c r="K70" s="151">
        <f t="shared" si="7"/>
        <v>0.19000000000000006</v>
      </c>
      <c r="L70" s="152" t="s">
        <v>435</v>
      </c>
      <c r="M70" s="131"/>
      <c r="N70" s="138">
        <v>53</v>
      </c>
      <c r="O70" s="153" t="s">
        <v>492</v>
      </c>
      <c r="P70" s="154" t="s">
        <v>151</v>
      </c>
      <c r="Q70" s="155">
        <f>0.06+0.015+0.004</f>
        <v>0.079</v>
      </c>
      <c r="R70" s="150">
        <f t="shared" si="12"/>
        <v>0.689</v>
      </c>
      <c r="S70" s="151">
        <v>0.8</v>
      </c>
      <c r="T70" s="147" t="s">
        <v>437</v>
      </c>
      <c r="U70" s="156">
        <f t="shared" si="15"/>
        <v>0.8</v>
      </c>
      <c r="V70" s="147">
        <v>0</v>
      </c>
      <c r="W70" s="151">
        <f t="shared" si="16"/>
        <v>0.8</v>
      </c>
      <c r="X70" s="151">
        <f t="shared" si="17"/>
        <v>0.1110000000000001</v>
      </c>
      <c r="Y70" s="151">
        <f t="shared" si="8"/>
        <v>0.1110000000000001</v>
      </c>
      <c r="Z70" s="152" t="s">
        <v>435</v>
      </c>
    </row>
    <row r="71" spans="1:26" s="24" customFormat="1" ht="15">
      <c r="A71" s="147">
        <v>54</v>
      </c>
      <c r="B71" s="148" t="s">
        <v>493</v>
      </c>
      <c r="C71" s="149" t="s">
        <v>154</v>
      </c>
      <c r="D71" s="150">
        <v>0.33</v>
      </c>
      <c r="E71" s="151">
        <v>1.07</v>
      </c>
      <c r="F71" s="147" t="s">
        <v>437</v>
      </c>
      <c r="G71" s="156">
        <f t="shared" si="13"/>
        <v>1.07</v>
      </c>
      <c r="H71" s="147">
        <v>0</v>
      </c>
      <c r="I71" s="151">
        <f t="shared" si="14"/>
        <v>1.07</v>
      </c>
      <c r="J71" s="151">
        <f t="shared" si="11"/>
        <v>0.74</v>
      </c>
      <c r="K71" s="151">
        <f t="shared" si="7"/>
        <v>0.74</v>
      </c>
      <c r="L71" s="152" t="s">
        <v>435</v>
      </c>
      <c r="M71" s="131"/>
      <c r="N71" s="138">
        <v>54</v>
      </c>
      <c r="O71" s="153" t="s">
        <v>493</v>
      </c>
      <c r="P71" s="154" t="s">
        <v>154</v>
      </c>
      <c r="Q71" s="155">
        <f>0.03+0.025+0.00132+0.00893+0.01</f>
        <v>0.07525</v>
      </c>
      <c r="R71" s="150">
        <f t="shared" si="12"/>
        <v>0.40525</v>
      </c>
      <c r="S71" s="151">
        <v>1.07</v>
      </c>
      <c r="T71" s="147" t="s">
        <v>437</v>
      </c>
      <c r="U71" s="156">
        <f t="shared" si="15"/>
        <v>1.07</v>
      </c>
      <c r="V71" s="147">
        <v>0</v>
      </c>
      <c r="W71" s="151">
        <f t="shared" si="16"/>
        <v>1.07</v>
      </c>
      <c r="X71" s="151">
        <f t="shared" si="17"/>
        <v>0.6647500000000001</v>
      </c>
      <c r="Y71" s="151">
        <f t="shared" si="8"/>
        <v>0.6647500000000001</v>
      </c>
      <c r="Z71" s="152" t="s">
        <v>435</v>
      </c>
    </row>
    <row r="72" spans="1:26" s="24" customFormat="1" ht="15">
      <c r="A72" s="147">
        <v>55</v>
      </c>
      <c r="B72" s="148" t="s">
        <v>494</v>
      </c>
      <c r="C72" s="149" t="s">
        <v>151</v>
      </c>
      <c r="D72" s="168">
        <v>0.3</v>
      </c>
      <c r="E72" s="151">
        <v>0.85</v>
      </c>
      <c r="F72" s="147" t="s">
        <v>437</v>
      </c>
      <c r="G72" s="156">
        <f t="shared" si="13"/>
        <v>0.85</v>
      </c>
      <c r="H72" s="147">
        <v>0</v>
      </c>
      <c r="I72" s="151">
        <f t="shared" si="14"/>
        <v>0.85</v>
      </c>
      <c r="J72" s="151">
        <f t="shared" si="11"/>
        <v>0.55</v>
      </c>
      <c r="K72" s="151">
        <f t="shared" si="7"/>
        <v>0.55</v>
      </c>
      <c r="L72" s="152" t="s">
        <v>435</v>
      </c>
      <c r="M72" s="131"/>
      <c r="N72" s="138">
        <v>55</v>
      </c>
      <c r="O72" s="153" t="s">
        <v>494</v>
      </c>
      <c r="P72" s="154" t="s">
        <v>151</v>
      </c>
      <c r="Q72" s="155">
        <f>0.045+0.008+0.003+0.015</f>
        <v>0.07100000000000001</v>
      </c>
      <c r="R72" s="150">
        <f t="shared" si="12"/>
        <v>0.371</v>
      </c>
      <c r="S72" s="151">
        <v>0.85</v>
      </c>
      <c r="T72" s="147" t="s">
        <v>437</v>
      </c>
      <c r="U72" s="156">
        <f t="shared" si="15"/>
        <v>0.85</v>
      </c>
      <c r="V72" s="147">
        <v>0</v>
      </c>
      <c r="W72" s="151">
        <f t="shared" si="16"/>
        <v>0.85</v>
      </c>
      <c r="X72" s="151">
        <f t="shared" si="17"/>
        <v>0.479</v>
      </c>
      <c r="Y72" s="151">
        <f t="shared" si="8"/>
        <v>0.479</v>
      </c>
      <c r="Z72" s="152" t="s">
        <v>435</v>
      </c>
    </row>
    <row r="73" spans="1:26" s="24" customFormat="1" ht="15">
      <c r="A73" s="147">
        <v>56</v>
      </c>
      <c r="B73" s="148" t="s">
        <v>495</v>
      </c>
      <c r="C73" s="149" t="s">
        <v>156</v>
      </c>
      <c r="D73" s="150">
        <v>0.36</v>
      </c>
      <c r="E73" s="151">
        <v>2.15</v>
      </c>
      <c r="F73" s="147" t="s">
        <v>437</v>
      </c>
      <c r="G73" s="156">
        <f t="shared" si="13"/>
        <v>2.15</v>
      </c>
      <c r="H73" s="147">
        <v>0</v>
      </c>
      <c r="I73" s="151">
        <f t="shared" si="14"/>
        <v>2.15</v>
      </c>
      <c r="J73" s="151">
        <f t="shared" si="11"/>
        <v>1.79</v>
      </c>
      <c r="K73" s="151">
        <f t="shared" si="7"/>
        <v>1.79</v>
      </c>
      <c r="L73" s="152" t="s">
        <v>435</v>
      </c>
      <c r="M73" s="131"/>
      <c r="N73" s="138">
        <v>56</v>
      </c>
      <c r="O73" s="153" t="s">
        <v>495</v>
      </c>
      <c r="P73" s="154" t="s">
        <v>156</v>
      </c>
      <c r="Q73" s="155">
        <f>0.011+0.6</f>
        <v>0.611</v>
      </c>
      <c r="R73" s="150">
        <f t="shared" si="12"/>
        <v>0.971</v>
      </c>
      <c r="S73" s="151">
        <v>2.15</v>
      </c>
      <c r="T73" s="147" t="s">
        <v>437</v>
      </c>
      <c r="U73" s="156">
        <f t="shared" si="15"/>
        <v>2.15</v>
      </c>
      <c r="V73" s="147">
        <v>0</v>
      </c>
      <c r="W73" s="151">
        <f t="shared" si="16"/>
        <v>2.15</v>
      </c>
      <c r="X73" s="151">
        <f t="shared" si="17"/>
        <v>1.1789999999999998</v>
      </c>
      <c r="Y73" s="151">
        <f t="shared" si="8"/>
        <v>1.1789999999999998</v>
      </c>
      <c r="Z73" s="152" t="s">
        <v>435</v>
      </c>
    </row>
    <row r="74" spans="1:26" s="24" customFormat="1" ht="15">
      <c r="A74" s="147">
        <v>57</v>
      </c>
      <c r="B74" s="148" t="s">
        <v>496</v>
      </c>
      <c r="C74" s="149" t="s">
        <v>151</v>
      </c>
      <c r="D74" s="150">
        <v>0.49</v>
      </c>
      <c r="E74" s="151">
        <v>0.84</v>
      </c>
      <c r="F74" s="147" t="s">
        <v>437</v>
      </c>
      <c r="G74" s="156">
        <f t="shared" si="13"/>
        <v>0.84</v>
      </c>
      <c r="H74" s="147">
        <v>0</v>
      </c>
      <c r="I74" s="151">
        <f t="shared" si="14"/>
        <v>0.84</v>
      </c>
      <c r="J74" s="151">
        <f t="shared" si="11"/>
        <v>0.35</v>
      </c>
      <c r="K74" s="151">
        <f t="shared" si="7"/>
        <v>0.35</v>
      </c>
      <c r="L74" s="152" t="s">
        <v>435</v>
      </c>
      <c r="M74" s="131"/>
      <c r="N74" s="138">
        <v>57</v>
      </c>
      <c r="O74" s="153" t="s">
        <v>496</v>
      </c>
      <c r="P74" s="154" t="s">
        <v>151</v>
      </c>
      <c r="Q74" s="155">
        <f>0.043+0.013+0.012+0.007+0.005</f>
        <v>0.08</v>
      </c>
      <c r="R74" s="150">
        <f t="shared" si="12"/>
        <v>0.57</v>
      </c>
      <c r="S74" s="151">
        <v>0.84</v>
      </c>
      <c r="T74" s="147" t="s">
        <v>437</v>
      </c>
      <c r="U74" s="156">
        <f t="shared" si="15"/>
        <v>0.84</v>
      </c>
      <c r="V74" s="147">
        <v>0</v>
      </c>
      <c r="W74" s="151">
        <f t="shared" si="16"/>
        <v>0.84</v>
      </c>
      <c r="X74" s="151">
        <f t="shared" si="17"/>
        <v>0.27</v>
      </c>
      <c r="Y74" s="151">
        <f t="shared" si="8"/>
        <v>0.27</v>
      </c>
      <c r="Z74" s="152" t="s">
        <v>435</v>
      </c>
    </row>
    <row r="75" spans="1:26" s="24" customFormat="1" ht="15">
      <c r="A75" s="147">
        <v>58</v>
      </c>
      <c r="B75" s="148" t="s">
        <v>497</v>
      </c>
      <c r="C75" s="149" t="s">
        <v>154</v>
      </c>
      <c r="D75" s="150">
        <v>1.01</v>
      </c>
      <c r="E75" s="151">
        <v>2.15</v>
      </c>
      <c r="F75" s="147" t="s">
        <v>437</v>
      </c>
      <c r="G75" s="156">
        <f t="shared" si="13"/>
        <v>2.15</v>
      </c>
      <c r="H75" s="147">
        <v>0</v>
      </c>
      <c r="I75" s="151">
        <f t="shared" si="14"/>
        <v>2.15</v>
      </c>
      <c r="J75" s="151">
        <f t="shared" si="11"/>
        <v>1.14</v>
      </c>
      <c r="K75" s="151">
        <f t="shared" si="7"/>
        <v>1.14</v>
      </c>
      <c r="L75" s="152" t="s">
        <v>435</v>
      </c>
      <c r="M75" s="131"/>
      <c r="N75" s="138">
        <v>58</v>
      </c>
      <c r="O75" s="153" t="s">
        <v>497</v>
      </c>
      <c r="P75" s="154" t="s">
        <v>154</v>
      </c>
      <c r="Q75" s="155">
        <v>0.008</v>
      </c>
      <c r="R75" s="150">
        <f t="shared" si="12"/>
        <v>1.018</v>
      </c>
      <c r="S75" s="151">
        <v>2.15</v>
      </c>
      <c r="T75" s="147" t="s">
        <v>437</v>
      </c>
      <c r="U75" s="156">
        <f t="shared" si="15"/>
        <v>2.15</v>
      </c>
      <c r="V75" s="147">
        <v>0</v>
      </c>
      <c r="W75" s="151">
        <f t="shared" si="16"/>
        <v>2.15</v>
      </c>
      <c r="X75" s="151">
        <f t="shared" si="17"/>
        <v>1.132</v>
      </c>
      <c r="Y75" s="151">
        <f t="shared" si="8"/>
        <v>1.132</v>
      </c>
      <c r="Z75" s="152" t="s">
        <v>435</v>
      </c>
    </row>
    <row r="76" spans="1:26" s="24" customFormat="1" ht="15">
      <c r="A76" s="147">
        <v>59</v>
      </c>
      <c r="B76" s="148" t="s">
        <v>498</v>
      </c>
      <c r="C76" s="149" t="s">
        <v>151</v>
      </c>
      <c r="D76" s="150">
        <v>0.2</v>
      </c>
      <c r="E76" s="151">
        <v>0.58</v>
      </c>
      <c r="F76" s="147" t="s">
        <v>437</v>
      </c>
      <c r="G76" s="156">
        <f t="shared" si="13"/>
        <v>0.58</v>
      </c>
      <c r="H76" s="147">
        <v>0</v>
      </c>
      <c r="I76" s="151">
        <f t="shared" si="14"/>
        <v>0.58</v>
      </c>
      <c r="J76" s="151">
        <f t="shared" si="11"/>
        <v>0.37999999999999995</v>
      </c>
      <c r="K76" s="151">
        <f t="shared" si="7"/>
        <v>0.37999999999999995</v>
      </c>
      <c r="L76" s="152" t="s">
        <v>435</v>
      </c>
      <c r="M76" s="131"/>
      <c r="N76" s="138">
        <v>59</v>
      </c>
      <c r="O76" s="153" t="s">
        <v>498</v>
      </c>
      <c r="P76" s="154" t="s">
        <v>151</v>
      </c>
      <c r="Q76" s="155">
        <v>0.058</v>
      </c>
      <c r="R76" s="150">
        <f t="shared" si="12"/>
        <v>0.258</v>
      </c>
      <c r="S76" s="151">
        <v>0.58</v>
      </c>
      <c r="T76" s="147" t="s">
        <v>437</v>
      </c>
      <c r="U76" s="156">
        <f t="shared" si="15"/>
        <v>0.58</v>
      </c>
      <c r="V76" s="147">
        <v>0</v>
      </c>
      <c r="W76" s="151">
        <f t="shared" si="16"/>
        <v>0.58</v>
      </c>
      <c r="X76" s="151">
        <f t="shared" si="17"/>
        <v>0.32199999999999995</v>
      </c>
      <c r="Y76" s="151">
        <f t="shared" si="8"/>
        <v>0.32199999999999995</v>
      </c>
      <c r="Z76" s="152" t="s">
        <v>435</v>
      </c>
    </row>
    <row r="77" spans="1:26" s="24" customFormat="1" ht="15">
      <c r="A77" s="147">
        <v>60</v>
      </c>
      <c r="B77" s="148" t="s">
        <v>499</v>
      </c>
      <c r="C77" s="149" t="s">
        <v>155</v>
      </c>
      <c r="D77" s="150">
        <v>0.41</v>
      </c>
      <c r="E77" s="151">
        <v>0.8</v>
      </c>
      <c r="F77" s="147" t="s">
        <v>437</v>
      </c>
      <c r="G77" s="156">
        <f t="shared" si="13"/>
        <v>0.8</v>
      </c>
      <c r="H77" s="147">
        <v>0</v>
      </c>
      <c r="I77" s="151">
        <f t="shared" si="14"/>
        <v>0.8</v>
      </c>
      <c r="J77" s="151">
        <f t="shared" si="11"/>
        <v>0.39000000000000007</v>
      </c>
      <c r="K77" s="151">
        <f t="shared" si="7"/>
        <v>0.39000000000000007</v>
      </c>
      <c r="L77" s="152" t="s">
        <v>435</v>
      </c>
      <c r="M77" s="131"/>
      <c r="N77" s="138">
        <v>60</v>
      </c>
      <c r="O77" s="153" t="s">
        <v>499</v>
      </c>
      <c r="P77" s="154" t="s">
        <v>155</v>
      </c>
      <c r="Q77" s="155">
        <v>0.009</v>
      </c>
      <c r="R77" s="150">
        <f t="shared" si="12"/>
        <v>0.419</v>
      </c>
      <c r="S77" s="151">
        <v>0.8</v>
      </c>
      <c r="T77" s="147" t="s">
        <v>437</v>
      </c>
      <c r="U77" s="156">
        <f t="shared" si="15"/>
        <v>0.8</v>
      </c>
      <c r="V77" s="147">
        <v>0</v>
      </c>
      <c r="W77" s="151">
        <f t="shared" si="16"/>
        <v>0.8</v>
      </c>
      <c r="X77" s="151">
        <f t="shared" si="17"/>
        <v>0.38100000000000006</v>
      </c>
      <c r="Y77" s="151">
        <f t="shared" si="8"/>
        <v>0.38100000000000006</v>
      </c>
      <c r="Z77" s="152" t="s">
        <v>435</v>
      </c>
    </row>
    <row r="78" spans="1:26" s="24" customFormat="1" ht="19.5" customHeight="1">
      <c r="A78" s="147">
        <v>61</v>
      </c>
      <c r="B78" s="148" t="s">
        <v>500</v>
      </c>
      <c r="C78" s="149" t="s">
        <v>151</v>
      </c>
      <c r="D78" s="168">
        <v>0.13</v>
      </c>
      <c r="E78" s="151">
        <v>1.8</v>
      </c>
      <c r="F78" s="147" t="s">
        <v>437</v>
      </c>
      <c r="G78" s="156">
        <f t="shared" si="13"/>
        <v>1.8</v>
      </c>
      <c r="H78" s="147">
        <v>0</v>
      </c>
      <c r="I78" s="151">
        <f t="shared" si="14"/>
        <v>1.8</v>
      </c>
      <c r="J78" s="151">
        <f t="shared" si="11"/>
        <v>1.67</v>
      </c>
      <c r="K78" s="151">
        <f t="shared" si="7"/>
        <v>1.67</v>
      </c>
      <c r="L78" s="152" t="s">
        <v>435</v>
      </c>
      <c r="M78" s="131"/>
      <c r="N78" s="138">
        <v>61</v>
      </c>
      <c r="O78" s="153" t="s">
        <v>500</v>
      </c>
      <c r="P78" s="154" t="s">
        <v>151</v>
      </c>
      <c r="Q78" s="155">
        <v>0.06</v>
      </c>
      <c r="R78" s="150">
        <f t="shared" si="12"/>
        <v>0.19</v>
      </c>
      <c r="S78" s="151">
        <v>1.8</v>
      </c>
      <c r="T78" s="147" t="s">
        <v>437</v>
      </c>
      <c r="U78" s="156">
        <f t="shared" si="15"/>
        <v>1.8</v>
      </c>
      <c r="V78" s="147">
        <v>0</v>
      </c>
      <c r="W78" s="151">
        <f t="shared" si="16"/>
        <v>1.8</v>
      </c>
      <c r="X78" s="151">
        <f t="shared" si="17"/>
        <v>1.61</v>
      </c>
      <c r="Y78" s="151">
        <f t="shared" si="8"/>
        <v>1.61</v>
      </c>
      <c r="Z78" s="152" t="s">
        <v>435</v>
      </c>
    </row>
    <row r="79" spans="1:26" s="24" customFormat="1" ht="15">
      <c r="A79" s="147">
        <v>62</v>
      </c>
      <c r="B79" s="148" t="s">
        <v>501</v>
      </c>
      <c r="C79" s="149" t="s">
        <v>156</v>
      </c>
      <c r="D79" s="150">
        <v>0.31</v>
      </c>
      <c r="E79" s="151">
        <v>0.64</v>
      </c>
      <c r="F79" s="147" t="s">
        <v>437</v>
      </c>
      <c r="G79" s="156">
        <f t="shared" si="13"/>
        <v>0.64</v>
      </c>
      <c r="H79" s="147">
        <v>0</v>
      </c>
      <c r="I79" s="151">
        <f t="shared" si="14"/>
        <v>0.64</v>
      </c>
      <c r="J79" s="151">
        <f t="shared" si="11"/>
        <v>0.33</v>
      </c>
      <c r="K79" s="151">
        <f t="shared" si="7"/>
        <v>0.33</v>
      </c>
      <c r="L79" s="152" t="s">
        <v>435</v>
      </c>
      <c r="M79" s="131"/>
      <c r="N79" s="138">
        <v>62</v>
      </c>
      <c r="O79" s="153" t="s">
        <v>501</v>
      </c>
      <c r="P79" s="154" t="s">
        <v>156</v>
      </c>
      <c r="Q79" s="155">
        <f>0.01+0.005</f>
        <v>0.015</v>
      </c>
      <c r="R79" s="150">
        <f t="shared" si="12"/>
        <v>0.325</v>
      </c>
      <c r="S79" s="151">
        <v>0.64</v>
      </c>
      <c r="T79" s="147" t="s">
        <v>437</v>
      </c>
      <c r="U79" s="156">
        <f t="shared" si="15"/>
        <v>0.64</v>
      </c>
      <c r="V79" s="147">
        <v>0</v>
      </c>
      <c r="W79" s="151">
        <f t="shared" si="16"/>
        <v>0.64</v>
      </c>
      <c r="X79" s="151">
        <f t="shared" si="17"/>
        <v>0.315</v>
      </c>
      <c r="Y79" s="151">
        <f t="shared" si="8"/>
        <v>0.315</v>
      </c>
      <c r="Z79" s="152" t="s">
        <v>435</v>
      </c>
    </row>
    <row r="80" spans="1:26" s="24" customFormat="1" ht="15">
      <c r="A80" s="147">
        <v>63</v>
      </c>
      <c r="B80" s="148" t="s">
        <v>502</v>
      </c>
      <c r="C80" s="149" t="s">
        <v>156</v>
      </c>
      <c r="D80" s="150">
        <v>0.28</v>
      </c>
      <c r="E80" s="151">
        <v>0.74</v>
      </c>
      <c r="F80" s="147" t="s">
        <v>437</v>
      </c>
      <c r="G80" s="156">
        <f t="shared" si="13"/>
        <v>0.74</v>
      </c>
      <c r="H80" s="147">
        <v>0</v>
      </c>
      <c r="I80" s="151">
        <f t="shared" si="14"/>
        <v>0.74</v>
      </c>
      <c r="J80" s="151">
        <f t="shared" si="11"/>
        <v>0.45999999999999996</v>
      </c>
      <c r="K80" s="151">
        <f t="shared" si="7"/>
        <v>0.45999999999999996</v>
      </c>
      <c r="L80" s="152" t="s">
        <v>435</v>
      </c>
      <c r="M80" s="131"/>
      <c r="N80" s="138">
        <v>63</v>
      </c>
      <c r="O80" s="153" t="s">
        <v>502</v>
      </c>
      <c r="P80" s="154" t="s">
        <v>156</v>
      </c>
      <c r="Q80" s="155">
        <v>0.257</v>
      </c>
      <c r="R80" s="150">
        <f t="shared" si="12"/>
        <v>0.537</v>
      </c>
      <c r="S80" s="151">
        <v>0.74</v>
      </c>
      <c r="T80" s="147" t="s">
        <v>437</v>
      </c>
      <c r="U80" s="156">
        <f t="shared" si="15"/>
        <v>0.74</v>
      </c>
      <c r="V80" s="147">
        <v>0</v>
      </c>
      <c r="W80" s="151">
        <f t="shared" si="16"/>
        <v>0.74</v>
      </c>
      <c r="X80" s="151">
        <f t="shared" si="17"/>
        <v>0.20299999999999996</v>
      </c>
      <c r="Y80" s="151">
        <f t="shared" si="8"/>
        <v>0.20299999999999996</v>
      </c>
      <c r="Z80" s="152" t="s">
        <v>435</v>
      </c>
    </row>
    <row r="81" spans="1:26" s="24" customFormat="1" ht="15">
      <c r="A81" s="147">
        <v>64</v>
      </c>
      <c r="B81" s="148" t="s">
        <v>503</v>
      </c>
      <c r="C81" s="149" t="s">
        <v>151</v>
      </c>
      <c r="D81" s="150">
        <v>0.64</v>
      </c>
      <c r="E81" s="151">
        <v>1.53</v>
      </c>
      <c r="F81" s="147" t="s">
        <v>437</v>
      </c>
      <c r="G81" s="156">
        <f t="shared" si="13"/>
        <v>1.53</v>
      </c>
      <c r="H81" s="147">
        <v>0</v>
      </c>
      <c r="I81" s="151">
        <f t="shared" si="14"/>
        <v>1.53</v>
      </c>
      <c r="J81" s="151">
        <f t="shared" si="11"/>
        <v>0.89</v>
      </c>
      <c r="K81" s="151">
        <f t="shared" si="7"/>
        <v>0.89</v>
      </c>
      <c r="L81" s="152" t="s">
        <v>435</v>
      </c>
      <c r="M81" s="131"/>
      <c r="N81" s="138">
        <v>64</v>
      </c>
      <c r="O81" s="153" t="s">
        <v>503</v>
      </c>
      <c r="P81" s="154" t="s">
        <v>151</v>
      </c>
      <c r="Q81" s="155">
        <f>0.041+0.005+0.0075</f>
        <v>0.0535</v>
      </c>
      <c r="R81" s="150">
        <f t="shared" si="12"/>
        <v>0.6935</v>
      </c>
      <c r="S81" s="151">
        <v>1.53</v>
      </c>
      <c r="T81" s="147" t="s">
        <v>437</v>
      </c>
      <c r="U81" s="156">
        <f t="shared" si="15"/>
        <v>1.53</v>
      </c>
      <c r="V81" s="147">
        <v>0</v>
      </c>
      <c r="W81" s="151">
        <f t="shared" si="16"/>
        <v>1.53</v>
      </c>
      <c r="X81" s="151">
        <f t="shared" si="17"/>
        <v>0.8365</v>
      </c>
      <c r="Y81" s="151">
        <f t="shared" si="8"/>
        <v>0.8365</v>
      </c>
      <c r="Z81" s="152" t="s">
        <v>435</v>
      </c>
    </row>
    <row r="82" spans="1:26" s="24" customFormat="1" ht="15">
      <c r="A82" s="147">
        <v>65</v>
      </c>
      <c r="B82" s="148" t="s">
        <v>504</v>
      </c>
      <c r="C82" s="149" t="s">
        <v>151</v>
      </c>
      <c r="D82" s="150">
        <v>0.55</v>
      </c>
      <c r="E82" s="151">
        <v>0.84</v>
      </c>
      <c r="F82" s="147" t="s">
        <v>437</v>
      </c>
      <c r="G82" s="156">
        <f t="shared" si="13"/>
        <v>0.84</v>
      </c>
      <c r="H82" s="147">
        <v>0</v>
      </c>
      <c r="I82" s="151">
        <f t="shared" si="14"/>
        <v>0.84</v>
      </c>
      <c r="J82" s="151">
        <f t="shared" si="11"/>
        <v>0.2899999999999999</v>
      </c>
      <c r="K82" s="151">
        <f t="shared" si="7"/>
        <v>0.2899999999999999</v>
      </c>
      <c r="L82" s="152" t="s">
        <v>435</v>
      </c>
      <c r="M82" s="131"/>
      <c r="N82" s="138">
        <v>65</v>
      </c>
      <c r="O82" s="153" t="s">
        <v>504</v>
      </c>
      <c r="P82" s="154" t="s">
        <v>151</v>
      </c>
      <c r="Q82" s="155">
        <v>0.03</v>
      </c>
      <c r="R82" s="150">
        <f t="shared" si="12"/>
        <v>0.5800000000000001</v>
      </c>
      <c r="S82" s="151">
        <v>0.84</v>
      </c>
      <c r="T82" s="147" t="s">
        <v>437</v>
      </c>
      <c r="U82" s="156">
        <f t="shared" si="15"/>
        <v>0.84</v>
      </c>
      <c r="V82" s="147">
        <v>0</v>
      </c>
      <c r="W82" s="151">
        <f t="shared" si="16"/>
        <v>0.84</v>
      </c>
      <c r="X82" s="151">
        <f t="shared" si="17"/>
        <v>0.2599999999999999</v>
      </c>
      <c r="Y82" s="151">
        <f t="shared" si="8"/>
        <v>0.2599999999999999</v>
      </c>
      <c r="Z82" s="152" t="s">
        <v>435</v>
      </c>
    </row>
    <row r="83" spans="1:26" s="24" customFormat="1" ht="15">
      <c r="A83" s="147">
        <v>66</v>
      </c>
      <c r="B83" s="148" t="s">
        <v>505</v>
      </c>
      <c r="C83" s="149" t="s">
        <v>154</v>
      </c>
      <c r="D83" s="150">
        <v>0.55</v>
      </c>
      <c r="E83" s="151">
        <v>1.42</v>
      </c>
      <c r="F83" s="147" t="s">
        <v>437</v>
      </c>
      <c r="G83" s="156">
        <f t="shared" si="13"/>
        <v>1.42</v>
      </c>
      <c r="H83" s="147">
        <v>0</v>
      </c>
      <c r="I83" s="151">
        <f t="shared" si="14"/>
        <v>1.42</v>
      </c>
      <c r="J83" s="151">
        <f t="shared" si="11"/>
        <v>0.8699999999999999</v>
      </c>
      <c r="K83" s="151">
        <f t="shared" si="7"/>
        <v>0.8699999999999999</v>
      </c>
      <c r="L83" s="152" t="s">
        <v>435</v>
      </c>
      <c r="M83" s="131"/>
      <c r="N83" s="138">
        <v>66</v>
      </c>
      <c r="O83" s="153" t="s">
        <v>505</v>
      </c>
      <c r="P83" s="154" t="s">
        <v>154</v>
      </c>
      <c r="Q83" s="155">
        <f>0.024+0.015</f>
        <v>0.039</v>
      </c>
      <c r="R83" s="150">
        <f t="shared" si="12"/>
        <v>0.5890000000000001</v>
      </c>
      <c r="S83" s="151">
        <v>1.42</v>
      </c>
      <c r="T83" s="147" t="s">
        <v>437</v>
      </c>
      <c r="U83" s="156">
        <f t="shared" si="15"/>
        <v>1.42</v>
      </c>
      <c r="V83" s="147">
        <v>0</v>
      </c>
      <c r="W83" s="151">
        <f t="shared" si="16"/>
        <v>1.42</v>
      </c>
      <c r="X83" s="151">
        <f t="shared" si="17"/>
        <v>0.8309999999999998</v>
      </c>
      <c r="Y83" s="151">
        <f t="shared" si="8"/>
        <v>0.8309999999999998</v>
      </c>
      <c r="Z83" s="152" t="s">
        <v>435</v>
      </c>
    </row>
    <row r="84" spans="1:26" s="24" customFormat="1" ht="15">
      <c r="A84" s="147">
        <v>67</v>
      </c>
      <c r="B84" s="148" t="s">
        <v>506</v>
      </c>
      <c r="C84" s="149" t="s">
        <v>156</v>
      </c>
      <c r="D84" s="150">
        <v>0.55</v>
      </c>
      <c r="E84" s="151">
        <v>0.76</v>
      </c>
      <c r="F84" s="147" t="s">
        <v>437</v>
      </c>
      <c r="G84" s="156">
        <f t="shared" si="13"/>
        <v>0.76</v>
      </c>
      <c r="H84" s="147">
        <v>0</v>
      </c>
      <c r="I84" s="151">
        <f t="shared" si="14"/>
        <v>0.76</v>
      </c>
      <c r="J84" s="151">
        <f t="shared" si="11"/>
        <v>0.20999999999999996</v>
      </c>
      <c r="K84" s="151">
        <f t="shared" si="7"/>
        <v>0.20999999999999996</v>
      </c>
      <c r="L84" s="152" t="s">
        <v>435</v>
      </c>
      <c r="M84" s="131"/>
      <c r="N84" s="138">
        <v>67</v>
      </c>
      <c r="O84" s="153" t="s">
        <v>506</v>
      </c>
      <c r="P84" s="154" t="s">
        <v>156</v>
      </c>
      <c r="Q84" s="155">
        <f>0.017+0.007</f>
        <v>0.024</v>
      </c>
      <c r="R84" s="150">
        <f t="shared" si="12"/>
        <v>0.5740000000000001</v>
      </c>
      <c r="S84" s="151">
        <v>0.76</v>
      </c>
      <c r="T84" s="147" t="s">
        <v>437</v>
      </c>
      <c r="U84" s="156">
        <f t="shared" si="15"/>
        <v>0.76</v>
      </c>
      <c r="V84" s="147">
        <v>0</v>
      </c>
      <c r="W84" s="151">
        <f t="shared" si="16"/>
        <v>0.76</v>
      </c>
      <c r="X84" s="151">
        <f t="shared" si="17"/>
        <v>0.18599999999999994</v>
      </c>
      <c r="Y84" s="151">
        <f t="shared" si="8"/>
        <v>0.18599999999999994</v>
      </c>
      <c r="Z84" s="152" t="s">
        <v>435</v>
      </c>
    </row>
    <row r="85" spans="1:26" s="24" customFormat="1" ht="15">
      <c r="A85" s="147">
        <v>68</v>
      </c>
      <c r="B85" s="148" t="s">
        <v>507</v>
      </c>
      <c r="C85" s="149" t="s">
        <v>151</v>
      </c>
      <c r="D85" s="150">
        <v>0.25</v>
      </c>
      <c r="E85" s="151">
        <v>1.43</v>
      </c>
      <c r="F85" s="147" t="s">
        <v>437</v>
      </c>
      <c r="G85" s="156">
        <f t="shared" si="13"/>
        <v>1.43</v>
      </c>
      <c r="H85" s="147">
        <v>0</v>
      </c>
      <c r="I85" s="151">
        <f t="shared" si="14"/>
        <v>1.43</v>
      </c>
      <c r="J85" s="151">
        <f t="shared" si="11"/>
        <v>1.18</v>
      </c>
      <c r="K85" s="151">
        <f t="shared" si="7"/>
        <v>1.18</v>
      </c>
      <c r="L85" s="152" t="s">
        <v>435</v>
      </c>
      <c r="M85" s="131"/>
      <c r="N85" s="138">
        <v>68</v>
      </c>
      <c r="O85" s="153" t="s">
        <v>507</v>
      </c>
      <c r="P85" s="154" t="s">
        <v>151</v>
      </c>
      <c r="Q85" s="155">
        <v>0.014</v>
      </c>
      <c r="R85" s="150">
        <f t="shared" si="12"/>
        <v>0.264</v>
      </c>
      <c r="S85" s="151">
        <v>1.43</v>
      </c>
      <c r="T85" s="147" t="s">
        <v>437</v>
      </c>
      <c r="U85" s="156">
        <f t="shared" si="15"/>
        <v>1.43</v>
      </c>
      <c r="V85" s="147">
        <v>0</v>
      </c>
      <c r="W85" s="151">
        <f t="shared" si="16"/>
        <v>1.43</v>
      </c>
      <c r="X85" s="151">
        <f t="shared" si="17"/>
        <v>1.166</v>
      </c>
      <c r="Y85" s="151">
        <f t="shared" si="8"/>
        <v>1.166</v>
      </c>
      <c r="Z85" s="152" t="s">
        <v>435</v>
      </c>
    </row>
    <row r="86" spans="1:26" s="24" customFormat="1" ht="15">
      <c r="A86" s="147">
        <v>69</v>
      </c>
      <c r="B86" s="148" t="s">
        <v>508</v>
      </c>
      <c r="C86" s="149" t="s">
        <v>154</v>
      </c>
      <c r="D86" s="150">
        <v>0.64</v>
      </c>
      <c r="E86" s="151">
        <v>0.83</v>
      </c>
      <c r="F86" s="147" t="s">
        <v>437</v>
      </c>
      <c r="G86" s="156">
        <f t="shared" si="13"/>
        <v>0.83</v>
      </c>
      <c r="H86" s="147">
        <v>0</v>
      </c>
      <c r="I86" s="151">
        <f t="shared" si="14"/>
        <v>0.83</v>
      </c>
      <c r="J86" s="151">
        <f t="shared" si="11"/>
        <v>0.18999999999999995</v>
      </c>
      <c r="K86" s="151">
        <f t="shared" si="7"/>
        <v>0.18999999999999995</v>
      </c>
      <c r="L86" s="152" t="s">
        <v>435</v>
      </c>
      <c r="M86" s="131"/>
      <c r="N86" s="138">
        <v>69</v>
      </c>
      <c r="O86" s="153" t="s">
        <v>508</v>
      </c>
      <c r="P86" s="154" t="s">
        <v>154</v>
      </c>
      <c r="Q86" s="155">
        <f>0.035+0.003+0.035+0.015+0.021</f>
        <v>0.10900000000000001</v>
      </c>
      <c r="R86" s="150">
        <f t="shared" si="12"/>
        <v>0.749</v>
      </c>
      <c r="S86" s="151">
        <v>0.83</v>
      </c>
      <c r="T86" s="147" t="s">
        <v>437</v>
      </c>
      <c r="U86" s="156">
        <f t="shared" si="15"/>
        <v>0.83</v>
      </c>
      <c r="V86" s="147">
        <v>0</v>
      </c>
      <c r="W86" s="151">
        <f t="shared" si="16"/>
        <v>0.83</v>
      </c>
      <c r="X86" s="151">
        <f t="shared" si="17"/>
        <v>0.08099999999999996</v>
      </c>
      <c r="Y86" s="151">
        <f t="shared" si="8"/>
        <v>0.08099999999999996</v>
      </c>
      <c r="Z86" s="152" t="s">
        <v>435</v>
      </c>
    </row>
    <row r="87" spans="1:26" s="27" customFormat="1" ht="15">
      <c r="A87" s="147">
        <v>70</v>
      </c>
      <c r="B87" s="148" t="s">
        <v>509</v>
      </c>
      <c r="C87" s="149" t="s">
        <v>151</v>
      </c>
      <c r="D87" s="150">
        <v>1.06</v>
      </c>
      <c r="E87" s="151">
        <v>1.1</v>
      </c>
      <c r="F87" s="147" t="s">
        <v>437</v>
      </c>
      <c r="G87" s="156">
        <f t="shared" si="13"/>
        <v>1.1</v>
      </c>
      <c r="H87" s="147">
        <v>0</v>
      </c>
      <c r="I87" s="151">
        <f t="shared" si="14"/>
        <v>1.1</v>
      </c>
      <c r="J87" s="151">
        <f t="shared" si="11"/>
        <v>0.040000000000000036</v>
      </c>
      <c r="K87" s="151">
        <f t="shared" si="7"/>
        <v>0.040000000000000036</v>
      </c>
      <c r="L87" s="152" t="s">
        <v>435</v>
      </c>
      <c r="M87" s="131"/>
      <c r="N87" s="138">
        <v>70</v>
      </c>
      <c r="O87" s="153" t="s">
        <v>509</v>
      </c>
      <c r="P87" s="154" t="s">
        <v>151</v>
      </c>
      <c r="Q87" s="155">
        <f>0.011+0.01+0.005+0.01</f>
        <v>0.036</v>
      </c>
      <c r="R87" s="150">
        <f t="shared" si="12"/>
        <v>1.096</v>
      </c>
      <c r="S87" s="151">
        <v>1.1</v>
      </c>
      <c r="T87" s="147" t="s">
        <v>437</v>
      </c>
      <c r="U87" s="156">
        <f t="shared" si="15"/>
        <v>1.1</v>
      </c>
      <c r="V87" s="147">
        <v>0</v>
      </c>
      <c r="W87" s="151">
        <f t="shared" si="16"/>
        <v>1.1</v>
      </c>
      <c r="X87" s="151">
        <f t="shared" si="17"/>
        <v>0.0040000000000000036</v>
      </c>
      <c r="Y87" s="151">
        <f t="shared" si="8"/>
        <v>0.0040000000000000036</v>
      </c>
      <c r="Z87" s="152" t="s">
        <v>435</v>
      </c>
    </row>
    <row r="88" spans="1:26" s="27" customFormat="1" ht="15">
      <c r="A88" s="147">
        <v>71</v>
      </c>
      <c r="B88" s="148" t="s">
        <v>510</v>
      </c>
      <c r="C88" s="149" t="s">
        <v>156</v>
      </c>
      <c r="D88" s="150">
        <v>0.6</v>
      </c>
      <c r="E88" s="151">
        <v>1.29</v>
      </c>
      <c r="F88" s="147" t="s">
        <v>437</v>
      </c>
      <c r="G88" s="156">
        <f t="shared" si="13"/>
        <v>1.29</v>
      </c>
      <c r="H88" s="147">
        <v>0</v>
      </c>
      <c r="I88" s="151">
        <f t="shared" si="14"/>
        <v>1.29</v>
      </c>
      <c r="J88" s="151">
        <f t="shared" si="11"/>
        <v>0.6900000000000001</v>
      </c>
      <c r="K88" s="151">
        <f t="shared" si="7"/>
        <v>0.6900000000000001</v>
      </c>
      <c r="L88" s="152" t="s">
        <v>435</v>
      </c>
      <c r="M88" s="131"/>
      <c r="N88" s="138">
        <v>71</v>
      </c>
      <c r="O88" s="153" t="s">
        <v>510</v>
      </c>
      <c r="P88" s="154" t="s">
        <v>156</v>
      </c>
      <c r="Q88" s="155">
        <f>0.045+0.026+0.02+0.016</f>
        <v>0.107</v>
      </c>
      <c r="R88" s="150">
        <f t="shared" si="12"/>
        <v>0.707</v>
      </c>
      <c r="S88" s="151">
        <v>1.29</v>
      </c>
      <c r="T88" s="147" t="s">
        <v>437</v>
      </c>
      <c r="U88" s="156">
        <f t="shared" si="15"/>
        <v>1.29</v>
      </c>
      <c r="V88" s="147">
        <v>0</v>
      </c>
      <c r="W88" s="151">
        <f t="shared" si="16"/>
        <v>1.29</v>
      </c>
      <c r="X88" s="151">
        <f t="shared" si="17"/>
        <v>0.5830000000000001</v>
      </c>
      <c r="Y88" s="151">
        <f t="shared" si="8"/>
        <v>0.5830000000000001</v>
      </c>
      <c r="Z88" s="152" t="s">
        <v>435</v>
      </c>
    </row>
    <row r="89" spans="1:26" s="27" customFormat="1" ht="15">
      <c r="A89" s="147">
        <v>72</v>
      </c>
      <c r="B89" s="148" t="s">
        <v>511</v>
      </c>
      <c r="C89" s="149" t="s">
        <v>150</v>
      </c>
      <c r="D89" s="150">
        <v>0.56</v>
      </c>
      <c r="E89" s="151">
        <v>1.15</v>
      </c>
      <c r="F89" s="147" t="s">
        <v>437</v>
      </c>
      <c r="G89" s="156">
        <f t="shared" si="13"/>
        <v>1.15</v>
      </c>
      <c r="H89" s="147">
        <v>0</v>
      </c>
      <c r="I89" s="151">
        <f t="shared" si="14"/>
        <v>1.15</v>
      </c>
      <c r="J89" s="151">
        <f t="shared" si="11"/>
        <v>0.5899999999999999</v>
      </c>
      <c r="K89" s="151">
        <f t="shared" si="7"/>
        <v>0.5899999999999999</v>
      </c>
      <c r="L89" s="152" t="s">
        <v>435</v>
      </c>
      <c r="M89" s="131"/>
      <c r="N89" s="138">
        <v>72</v>
      </c>
      <c r="O89" s="153" t="s">
        <v>511</v>
      </c>
      <c r="P89" s="154" t="s">
        <v>150</v>
      </c>
      <c r="Q89" s="155">
        <f>0.017+0.006+0.003</f>
        <v>0.026</v>
      </c>
      <c r="R89" s="150">
        <f t="shared" si="12"/>
        <v>0.5860000000000001</v>
      </c>
      <c r="S89" s="151">
        <v>1.15</v>
      </c>
      <c r="T89" s="147" t="s">
        <v>437</v>
      </c>
      <c r="U89" s="156">
        <f t="shared" si="15"/>
        <v>1.15</v>
      </c>
      <c r="V89" s="147">
        <v>0</v>
      </c>
      <c r="W89" s="151">
        <f t="shared" si="16"/>
        <v>1.15</v>
      </c>
      <c r="X89" s="151">
        <f t="shared" si="17"/>
        <v>0.5639999999999998</v>
      </c>
      <c r="Y89" s="151">
        <f t="shared" si="8"/>
        <v>0.5639999999999998</v>
      </c>
      <c r="Z89" s="152" t="s">
        <v>435</v>
      </c>
    </row>
    <row r="90" spans="1:26" s="27" customFormat="1" ht="15">
      <c r="A90" s="147">
        <v>73</v>
      </c>
      <c r="B90" s="148" t="s">
        <v>512</v>
      </c>
      <c r="C90" s="149" t="s">
        <v>157</v>
      </c>
      <c r="D90" s="150">
        <v>0</v>
      </c>
      <c r="E90" s="151">
        <v>0.96</v>
      </c>
      <c r="F90" s="147" t="s">
        <v>437</v>
      </c>
      <c r="G90" s="156">
        <f t="shared" si="13"/>
        <v>0.96</v>
      </c>
      <c r="H90" s="147">
        <v>0</v>
      </c>
      <c r="I90" s="151">
        <f t="shared" si="14"/>
        <v>0.96</v>
      </c>
      <c r="J90" s="151">
        <f t="shared" si="11"/>
        <v>0.96</v>
      </c>
      <c r="K90" s="151">
        <f t="shared" si="7"/>
        <v>0.96</v>
      </c>
      <c r="L90" s="152" t="s">
        <v>435</v>
      </c>
      <c r="M90" s="131"/>
      <c r="N90" s="138">
        <v>73</v>
      </c>
      <c r="O90" s="153" t="s">
        <v>512</v>
      </c>
      <c r="P90" s="154" t="s">
        <v>157</v>
      </c>
      <c r="Q90" s="155">
        <f>0.041+0.005</f>
        <v>0.046</v>
      </c>
      <c r="R90" s="150">
        <f t="shared" si="12"/>
        <v>0.046</v>
      </c>
      <c r="S90" s="151">
        <v>0.96</v>
      </c>
      <c r="T90" s="147" t="s">
        <v>437</v>
      </c>
      <c r="U90" s="156">
        <f t="shared" si="15"/>
        <v>0.96</v>
      </c>
      <c r="V90" s="147">
        <v>0</v>
      </c>
      <c r="W90" s="151">
        <f t="shared" si="16"/>
        <v>0.96</v>
      </c>
      <c r="X90" s="151">
        <f t="shared" si="17"/>
        <v>0.9139999999999999</v>
      </c>
      <c r="Y90" s="151">
        <f t="shared" si="8"/>
        <v>0.9139999999999999</v>
      </c>
      <c r="Z90" s="152" t="s">
        <v>435</v>
      </c>
    </row>
    <row r="91" spans="1:26" s="24" customFormat="1" ht="15">
      <c r="A91" s="147">
        <v>74</v>
      </c>
      <c r="B91" s="148" t="s">
        <v>513</v>
      </c>
      <c r="C91" s="149" t="s">
        <v>156</v>
      </c>
      <c r="D91" s="150">
        <v>0.6</v>
      </c>
      <c r="E91" s="151">
        <v>1.1</v>
      </c>
      <c r="F91" s="147" t="s">
        <v>437</v>
      </c>
      <c r="G91" s="156">
        <f t="shared" si="13"/>
        <v>1.1</v>
      </c>
      <c r="H91" s="147">
        <v>0</v>
      </c>
      <c r="I91" s="151">
        <f t="shared" si="14"/>
        <v>1.1</v>
      </c>
      <c r="J91" s="151">
        <f t="shared" si="11"/>
        <v>0.5000000000000001</v>
      </c>
      <c r="K91" s="151">
        <f t="shared" si="7"/>
        <v>0.5000000000000001</v>
      </c>
      <c r="L91" s="152" t="s">
        <v>435</v>
      </c>
      <c r="M91" s="131"/>
      <c r="N91" s="138">
        <v>74</v>
      </c>
      <c r="O91" s="153" t="s">
        <v>513</v>
      </c>
      <c r="P91" s="154" t="s">
        <v>156</v>
      </c>
      <c r="Q91" s="155">
        <f>0.059+0.004+0.075</f>
        <v>0.138</v>
      </c>
      <c r="R91" s="150">
        <f t="shared" si="12"/>
        <v>0.738</v>
      </c>
      <c r="S91" s="151">
        <v>1.1</v>
      </c>
      <c r="T91" s="147" t="s">
        <v>437</v>
      </c>
      <c r="U91" s="156">
        <f t="shared" si="15"/>
        <v>1.1</v>
      </c>
      <c r="V91" s="147">
        <v>0</v>
      </c>
      <c r="W91" s="151">
        <f t="shared" si="16"/>
        <v>1.1</v>
      </c>
      <c r="X91" s="151">
        <f t="shared" si="17"/>
        <v>0.3620000000000001</v>
      </c>
      <c r="Y91" s="151">
        <f t="shared" si="8"/>
        <v>0.3620000000000001</v>
      </c>
      <c r="Z91" s="152" t="s">
        <v>435</v>
      </c>
    </row>
    <row r="92" spans="1:26" s="24" customFormat="1" ht="15">
      <c r="A92" s="147">
        <v>75</v>
      </c>
      <c r="B92" s="148" t="s">
        <v>514</v>
      </c>
      <c r="C92" s="149" t="s">
        <v>155</v>
      </c>
      <c r="D92" s="150">
        <v>0.76</v>
      </c>
      <c r="E92" s="151">
        <v>1.28</v>
      </c>
      <c r="F92" s="147" t="s">
        <v>437</v>
      </c>
      <c r="G92" s="156">
        <f t="shared" si="13"/>
        <v>1.28</v>
      </c>
      <c r="H92" s="147">
        <v>0</v>
      </c>
      <c r="I92" s="151">
        <f t="shared" si="14"/>
        <v>1.28</v>
      </c>
      <c r="J92" s="151">
        <f t="shared" si="11"/>
        <v>0.52</v>
      </c>
      <c r="K92" s="151">
        <f t="shared" si="7"/>
        <v>0.52</v>
      </c>
      <c r="L92" s="152" t="s">
        <v>435</v>
      </c>
      <c r="M92" s="131"/>
      <c r="N92" s="138">
        <v>75</v>
      </c>
      <c r="O92" s="153" t="s">
        <v>514</v>
      </c>
      <c r="P92" s="154" t="s">
        <v>155</v>
      </c>
      <c r="Q92" s="155">
        <v>0.015</v>
      </c>
      <c r="R92" s="150">
        <f t="shared" si="12"/>
        <v>0.775</v>
      </c>
      <c r="S92" s="151">
        <v>1.28</v>
      </c>
      <c r="T92" s="147" t="s">
        <v>437</v>
      </c>
      <c r="U92" s="156">
        <f t="shared" si="15"/>
        <v>1.28</v>
      </c>
      <c r="V92" s="147">
        <v>0</v>
      </c>
      <c r="W92" s="151">
        <f t="shared" si="16"/>
        <v>1.28</v>
      </c>
      <c r="X92" s="151">
        <f t="shared" si="17"/>
        <v>0.505</v>
      </c>
      <c r="Y92" s="151">
        <f t="shared" si="8"/>
        <v>0.505</v>
      </c>
      <c r="Z92" s="152" t="s">
        <v>435</v>
      </c>
    </row>
    <row r="93" spans="1:26" s="24" customFormat="1" ht="15">
      <c r="A93" s="147">
        <v>76</v>
      </c>
      <c r="B93" s="148" t="s">
        <v>515</v>
      </c>
      <c r="C93" s="149" t="s">
        <v>151</v>
      </c>
      <c r="D93" s="150">
        <v>0.45</v>
      </c>
      <c r="E93" s="151">
        <v>1.19</v>
      </c>
      <c r="F93" s="147" t="s">
        <v>437</v>
      </c>
      <c r="G93" s="156">
        <f t="shared" si="13"/>
        <v>1.19</v>
      </c>
      <c r="H93" s="147">
        <v>0</v>
      </c>
      <c r="I93" s="151">
        <f t="shared" si="14"/>
        <v>1.19</v>
      </c>
      <c r="J93" s="151">
        <f t="shared" si="11"/>
        <v>0.74</v>
      </c>
      <c r="K93" s="151">
        <f t="shared" si="7"/>
        <v>0.74</v>
      </c>
      <c r="L93" s="152" t="s">
        <v>435</v>
      </c>
      <c r="M93" s="131"/>
      <c r="N93" s="138">
        <v>76</v>
      </c>
      <c r="O93" s="153" t="s">
        <v>515</v>
      </c>
      <c r="P93" s="154" t="s">
        <v>151</v>
      </c>
      <c r="Q93" s="155">
        <f>0.01+0.015</f>
        <v>0.025</v>
      </c>
      <c r="R93" s="150">
        <f t="shared" si="12"/>
        <v>0.47500000000000003</v>
      </c>
      <c r="S93" s="151">
        <v>1.19</v>
      </c>
      <c r="T93" s="147" t="s">
        <v>437</v>
      </c>
      <c r="U93" s="156">
        <f t="shared" si="15"/>
        <v>1.19</v>
      </c>
      <c r="V93" s="147">
        <v>0</v>
      </c>
      <c r="W93" s="151">
        <f t="shared" si="16"/>
        <v>1.19</v>
      </c>
      <c r="X93" s="151">
        <f t="shared" si="17"/>
        <v>0.7149999999999999</v>
      </c>
      <c r="Y93" s="151">
        <f t="shared" si="8"/>
        <v>0.7149999999999999</v>
      </c>
      <c r="Z93" s="152" t="s">
        <v>435</v>
      </c>
    </row>
    <row r="94" spans="1:26" s="24" customFormat="1" ht="15">
      <c r="A94" s="147">
        <v>77</v>
      </c>
      <c r="B94" s="148" t="s">
        <v>516</v>
      </c>
      <c r="C94" s="149" t="s">
        <v>151</v>
      </c>
      <c r="D94" s="150">
        <v>0.68</v>
      </c>
      <c r="E94" s="151">
        <v>0.8</v>
      </c>
      <c r="F94" s="147" t="s">
        <v>437</v>
      </c>
      <c r="G94" s="156">
        <f t="shared" si="13"/>
        <v>0.8</v>
      </c>
      <c r="H94" s="147">
        <v>0</v>
      </c>
      <c r="I94" s="151">
        <f t="shared" si="14"/>
        <v>0.8</v>
      </c>
      <c r="J94" s="151">
        <f t="shared" si="11"/>
        <v>0.12</v>
      </c>
      <c r="K94" s="151">
        <f t="shared" si="7"/>
        <v>0.12</v>
      </c>
      <c r="L94" s="152" t="s">
        <v>435</v>
      </c>
      <c r="M94" s="131"/>
      <c r="N94" s="138">
        <v>77</v>
      </c>
      <c r="O94" s="153" t="s">
        <v>516</v>
      </c>
      <c r="P94" s="154" t="s">
        <v>151</v>
      </c>
      <c r="Q94" s="155">
        <v>0.01</v>
      </c>
      <c r="R94" s="150">
        <f t="shared" si="12"/>
        <v>0.6900000000000001</v>
      </c>
      <c r="S94" s="151">
        <v>0.8</v>
      </c>
      <c r="T94" s="147" t="s">
        <v>437</v>
      </c>
      <c r="U94" s="156">
        <f t="shared" si="15"/>
        <v>0.8</v>
      </c>
      <c r="V94" s="147">
        <v>0</v>
      </c>
      <c r="W94" s="151">
        <f t="shared" si="16"/>
        <v>0.8</v>
      </c>
      <c r="X94" s="151">
        <f t="shared" si="17"/>
        <v>0.10999999999999999</v>
      </c>
      <c r="Y94" s="151">
        <f t="shared" si="8"/>
        <v>0.10999999999999999</v>
      </c>
      <c r="Z94" s="152" t="s">
        <v>435</v>
      </c>
    </row>
    <row r="95" spans="1:26" s="27" customFormat="1" ht="15">
      <c r="A95" s="147">
        <v>78</v>
      </c>
      <c r="B95" s="148" t="s">
        <v>517</v>
      </c>
      <c r="C95" s="149" t="s">
        <v>151</v>
      </c>
      <c r="D95" s="150">
        <v>0.23</v>
      </c>
      <c r="E95" s="151">
        <v>1.33</v>
      </c>
      <c r="F95" s="147" t="s">
        <v>437</v>
      </c>
      <c r="G95" s="156">
        <f t="shared" si="13"/>
        <v>1.33</v>
      </c>
      <c r="H95" s="147">
        <v>0</v>
      </c>
      <c r="I95" s="151">
        <f t="shared" si="14"/>
        <v>1.33</v>
      </c>
      <c r="J95" s="151">
        <f t="shared" si="11"/>
        <v>1.1</v>
      </c>
      <c r="K95" s="151">
        <f t="shared" si="7"/>
        <v>1.1</v>
      </c>
      <c r="L95" s="152" t="s">
        <v>435</v>
      </c>
      <c r="M95" s="131"/>
      <c r="N95" s="138">
        <v>78</v>
      </c>
      <c r="O95" s="153" t="s">
        <v>517</v>
      </c>
      <c r="P95" s="154" t="s">
        <v>151</v>
      </c>
      <c r="Q95" s="155">
        <v>0.015</v>
      </c>
      <c r="R95" s="150">
        <f t="shared" si="12"/>
        <v>0.245</v>
      </c>
      <c r="S95" s="151">
        <v>1.33</v>
      </c>
      <c r="T95" s="147" t="s">
        <v>437</v>
      </c>
      <c r="U95" s="156">
        <f t="shared" si="15"/>
        <v>1.33</v>
      </c>
      <c r="V95" s="147">
        <v>0</v>
      </c>
      <c r="W95" s="151">
        <f t="shared" si="16"/>
        <v>1.33</v>
      </c>
      <c r="X95" s="151">
        <f t="shared" si="17"/>
        <v>1.085</v>
      </c>
      <c r="Y95" s="151">
        <f t="shared" si="8"/>
        <v>1.085</v>
      </c>
      <c r="Z95" s="152" t="s">
        <v>435</v>
      </c>
    </row>
    <row r="96" spans="1:26" s="24" customFormat="1" ht="15">
      <c r="A96" s="147">
        <v>79</v>
      </c>
      <c r="B96" s="148" t="s">
        <v>518</v>
      </c>
      <c r="C96" s="149" t="s">
        <v>155</v>
      </c>
      <c r="D96" s="150">
        <v>1</v>
      </c>
      <c r="E96" s="151">
        <v>2.15</v>
      </c>
      <c r="F96" s="147" t="s">
        <v>437</v>
      </c>
      <c r="G96" s="156">
        <f t="shared" si="13"/>
        <v>2.15</v>
      </c>
      <c r="H96" s="147">
        <v>0</v>
      </c>
      <c r="I96" s="151">
        <f t="shared" si="14"/>
        <v>2.15</v>
      </c>
      <c r="J96" s="151">
        <f t="shared" si="11"/>
        <v>1.15</v>
      </c>
      <c r="K96" s="151">
        <f aca="true" t="shared" si="18" ref="K96:K146">J96</f>
        <v>1.15</v>
      </c>
      <c r="L96" s="152" t="s">
        <v>435</v>
      </c>
      <c r="M96" s="131"/>
      <c r="N96" s="138">
        <v>79</v>
      </c>
      <c r="O96" s="153" t="s">
        <v>518</v>
      </c>
      <c r="P96" s="154" t="s">
        <v>155</v>
      </c>
      <c r="Q96" s="155">
        <f>0.023+0.007+0.015+0.015</f>
        <v>0.06</v>
      </c>
      <c r="R96" s="150">
        <f t="shared" si="12"/>
        <v>1.06</v>
      </c>
      <c r="S96" s="151">
        <v>2.15</v>
      </c>
      <c r="T96" s="147" t="s">
        <v>437</v>
      </c>
      <c r="U96" s="156">
        <f t="shared" si="15"/>
        <v>2.15</v>
      </c>
      <c r="V96" s="147">
        <v>0</v>
      </c>
      <c r="W96" s="151">
        <f t="shared" si="16"/>
        <v>2.15</v>
      </c>
      <c r="X96" s="151">
        <f t="shared" si="17"/>
        <v>1.0899999999999999</v>
      </c>
      <c r="Y96" s="151">
        <f aca="true" t="shared" si="19" ref="Y96:Y146">X96</f>
        <v>1.0899999999999999</v>
      </c>
      <c r="Z96" s="152" t="s">
        <v>435</v>
      </c>
    </row>
    <row r="97" spans="1:26" s="24" customFormat="1" ht="15">
      <c r="A97" s="147">
        <v>80</v>
      </c>
      <c r="B97" s="148" t="s">
        <v>519</v>
      </c>
      <c r="C97" s="149" t="s">
        <v>155</v>
      </c>
      <c r="D97" s="150">
        <v>0.56</v>
      </c>
      <c r="E97" s="151">
        <v>2.15</v>
      </c>
      <c r="F97" s="147" t="s">
        <v>437</v>
      </c>
      <c r="G97" s="156">
        <f t="shared" si="13"/>
        <v>2.15</v>
      </c>
      <c r="H97" s="147">
        <v>0</v>
      </c>
      <c r="I97" s="151">
        <f t="shared" si="14"/>
        <v>2.15</v>
      </c>
      <c r="J97" s="151">
        <f t="shared" si="11"/>
        <v>1.5899999999999999</v>
      </c>
      <c r="K97" s="151">
        <f t="shared" si="18"/>
        <v>1.5899999999999999</v>
      </c>
      <c r="L97" s="152" t="s">
        <v>435</v>
      </c>
      <c r="M97" s="131"/>
      <c r="N97" s="138">
        <v>80</v>
      </c>
      <c r="O97" s="153" t="s">
        <v>519</v>
      </c>
      <c r="P97" s="154" t="s">
        <v>155</v>
      </c>
      <c r="Q97" s="155">
        <f>0.057+0.035+0.038+0.02+0.0823+0.015+0.01</f>
        <v>0.25730000000000003</v>
      </c>
      <c r="R97" s="150">
        <f t="shared" si="12"/>
        <v>0.8173000000000001</v>
      </c>
      <c r="S97" s="151">
        <v>2.15</v>
      </c>
      <c r="T97" s="147" t="s">
        <v>437</v>
      </c>
      <c r="U97" s="156">
        <f t="shared" si="15"/>
        <v>2.15</v>
      </c>
      <c r="V97" s="147">
        <v>0</v>
      </c>
      <c r="W97" s="151">
        <f t="shared" si="16"/>
        <v>2.15</v>
      </c>
      <c r="X97" s="151">
        <f t="shared" si="17"/>
        <v>1.3326999999999998</v>
      </c>
      <c r="Y97" s="151">
        <f t="shared" si="19"/>
        <v>1.3326999999999998</v>
      </c>
      <c r="Z97" s="152" t="s">
        <v>435</v>
      </c>
    </row>
    <row r="98" spans="1:26" s="24" customFormat="1" ht="15">
      <c r="A98" s="147">
        <v>81</v>
      </c>
      <c r="B98" s="148" t="s">
        <v>520</v>
      </c>
      <c r="C98" s="149" t="s">
        <v>156</v>
      </c>
      <c r="D98" s="150">
        <v>0.6</v>
      </c>
      <c r="E98" s="151">
        <v>1.1</v>
      </c>
      <c r="F98" s="147" t="s">
        <v>437</v>
      </c>
      <c r="G98" s="156">
        <f t="shared" si="13"/>
        <v>1.1</v>
      </c>
      <c r="H98" s="147">
        <v>0</v>
      </c>
      <c r="I98" s="151">
        <f t="shared" si="14"/>
        <v>1.1</v>
      </c>
      <c r="J98" s="151">
        <f aca="true" t="shared" si="20" ref="J98:J129">I98-D98</f>
        <v>0.5000000000000001</v>
      </c>
      <c r="K98" s="151">
        <f t="shared" si="18"/>
        <v>0.5000000000000001</v>
      </c>
      <c r="L98" s="152" t="s">
        <v>435</v>
      </c>
      <c r="M98" s="131"/>
      <c r="N98" s="138">
        <v>81</v>
      </c>
      <c r="O98" s="153" t="s">
        <v>520</v>
      </c>
      <c r="P98" s="154" t="s">
        <v>156</v>
      </c>
      <c r="Q98" s="155">
        <f>0.033+0.005</f>
        <v>0.038</v>
      </c>
      <c r="R98" s="150">
        <f aca="true" t="shared" si="21" ref="R98:R129">Q98+D98</f>
        <v>0.638</v>
      </c>
      <c r="S98" s="151">
        <v>1.1</v>
      </c>
      <c r="T98" s="147" t="s">
        <v>437</v>
      </c>
      <c r="U98" s="156">
        <f t="shared" si="15"/>
        <v>1.1</v>
      </c>
      <c r="V98" s="147">
        <v>0</v>
      </c>
      <c r="W98" s="151">
        <f t="shared" si="16"/>
        <v>1.1</v>
      </c>
      <c r="X98" s="151">
        <f t="shared" si="17"/>
        <v>0.4620000000000001</v>
      </c>
      <c r="Y98" s="151">
        <f t="shared" si="19"/>
        <v>0.4620000000000001</v>
      </c>
      <c r="Z98" s="152" t="s">
        <v>435</v>
      </c>
    </row>
    <row r="99" spans="1:26" s="24" customFormat="1" ht="15">
      <c r="A99" s="147">
        <v>82</v>
      </c>
      <c r="B99" s="148" t="s">
        <v>521</v>
      </c>
      <c r="C99" s="149" t="s">
        <v>151</v>
      </c>
      <c r="D99" s="168">
        <v>0.42</v>
      </c>
      <c r="E99" s="151">
        <v>0.9</v>
      </c>
      <c r="F99" s="147" t="s">
        <v>437</v>
      </c>
      <c r="G99" s="156">
        <f t="shared" si="13"/>
        <v>0.9</v>
      </c>
      <c r="H99" s="147">
        <v>0</v>
      </c>
      <c r="I99" s="151">
        <f t="shared" si="14"/>
        <v>0.9</v>
      </c>
      <c r="J99" s="151">
        <f t="shared" si="20"/>
        <v>0.48000000000000004</v>
      </c>
      <c r="K99" s="151">
        <f t="shared" si="18"/>
        <v>0.48000000000000004</v>
      </c>
      <c r="L99" s="152" t="s">
        <v>435</v>
      </c>
      <c r="M99" s="131"/>
      <c r="N99" s="138">
        <v>82</v>
      </c>
      <c r="O99" s="153" t="s">
        <v>521</v>
      </c>
      <c r="P99" s="154" t="s">
        <v>151</v>
      </c>
      <c r="Q99" s="155"/>
      <c r="R99" s="150">
        <f t="shared" si="21"/>
        <v>0.42</v>
      </c>
      <c r="S99" s="151">
        <v>0.9</v>
      </c>
      <c r="T99" s="147" t="s">
        <v>437</v>
      </c>
      <c r="U99" s="156">
        <f t="shared" si="15"/>
        <v>0.9</v>
      </c>
      <c r="V99" s="147">
        <v>0</v>
      </c>
      <c r="W99" s="151">
        <f t="shared" si="16"/>
        <v>0.9</v>
      </c>
      <c r="X99" s="151">
        <f t="shared" si="17"/>
        <v>0.48000000000000004</v>
      </c>
      <c r="Y99" s="151">
        <f t="shared" si="19"/>
        <v>0.48000000000000004</v>
      </c>
      <c r="Z99" s="152" t="s">
        <v>435</v>
      </c>
    </row>
    <row r="100" spans="1:26" s="24" customFormat="1" ht="15">
      <c r="A100" s="147">
        <v>83</v>
      </c>
      <c r="B100" s="148" t="s">
        <v>522</v>
      </c>
      <c r="C100" s="149" t="s">
        <v>151</v>
      </c>
      <c r="D100" s="150">
        <v>0.04</v>
      </c>
      <c r="E100" s="151">
        <v>1.07</v>
      </c>
      <c r="F100" s="147" t="s">
        <v>437</v>
      </c>
      <c r="G100" s="156">
        <f t="shared" si="13"/>
        <v>1.07</v>
      </c>
      <c r="H100" s="147">
        <v>0</v>
      </c>
      <c r="I100" s="151">
        <f t="shared" si="14"/>
        <v>1.07</v>
      </c>
      <c r="J100" s="151">
        <f t="shared" si="20"/>
        <v>1.03</v>
      </c>
      <c r="K100" s="151">
        <f t="shared" si="18"/>
        <v>1.03</v>
      </c>
      <c r="L100" s="152" t="s">
        <v>435</v>
      </c>
      <c r="M100" s="131"/>
      <c r="N100" s="138">
        <v>83</v>
      </c>
      <c r="O100" s="153" t="s">
        <v>522</v>
      </c>
      <c r="P100" s="154" t="s">
        <v>151</v>
      </c>
      <c r="Q100" s="155"/>
      <c r="R100" s="150">
        <f t="shared" si="21"/>
        <v>0.04</v>
      </c>
      <c r="S100" s="151">
        <v>1.07</v>
      </c>
      <c r="T100" s="147" t="s">
        <v>437</v>
      </c>
      <c r="U100" s="156">
        <f t="shared" si="15"/>
        <v>1.07</v>
      </c>
      <c r="V100" s="147">
        <v>0</v>
      </c>
      <c r="W100" s="151">
        <f t="shared" si="16"/>
        <v>1.07</v>
      </c>
      <c r="X100" s="151">
        <f t="shared" si="17"/>
        <v>1.03</v>
      </c>
      <c r="Y100" s="151">
        <f t="shared" si="19"/>
        <v>1.03</v>
      </c>
      <c r="Z100" s="152" t="s">
        <v>435</v>
      </c>
    </row>
    <row r="101" spans="1:26" s="24" customFormat="1" ht="15">
      <c r="A101" s="147">
        <v>84</v>
      </c>
      <c r="B101" s="148" t="s">
        <v>523</v>
      </c>
      <c r="C101" s="149" t="s">
        <v>151</v>
      </c>
      <c r="D101" s="150">
        <v>0.08</v>
      </c>
      <c r="E101" s="151">
        <v>4.3</v>
      </c>
      <c r="F101" s="147" t="s">
        <v>437</v>
      </c>
      <c r="G101" s="156">
        <f t="shared" si="13"/>
        <v>4.3</v>
      </c>
      <c r="H101" s="147">
        <v>0</v>
      </c>
      <c r="I101" s="151">
        <f t="shared" si="14"/>
        <v>4.3</v>
      </c>
      <c r="J101" s="151">
        <f t="shared" si="20"/>
        <v>4.22</v>
      </c>
      <c r="K101" s="151">
        <f t="shared" si="18"/>
        <v>4.22</v>
      </c>
      <c r="L101" s="152" t="s">
        <v>435</v>
      </c>
      <c r="M101" s="131"/>
      <c r="N101" s="138">
        <v>84</v>
      </c>
      <c r="O101" s="153" t="s">
        <v>523</v>
      </c>
      <c r="P101" s="154" t="s">
        <v>151</v>
      </c>
      <c r="Q101" s="155"/>
      <c r="R101" s="150">
        <f t="shared" si="21"/>
        <v>0.08</v>
      </c>
      <c r="S101" s="151">
        <v>4.3</v>
      </c>
      <c r="T101" s="147" t="s">
        <v>437</v>
      </c>
      <c r="U101" s="156">
        <f t="shared" si="15"/>
        <v>4.3</v>
      </c>
      <c r="V101" s="147">
        <v>0</v>
      </c>
      <c r="W101" s="151">
        <f t="shared" si="16"/>
        <v>4.3</v>
      </c>
      <c r="X101" s="151">
        <f t="shared" si="17"/>
        <v>4.22</v>
      </c>
      <c r="Y101" s="151">
        <f t="shared" si="19"/>
        <v>4.22</v>
      </c>
      <c r="Z101" s="152" t="s">
        <v>435</v>
      </c>
    </row>
    <row r="102" spans="1:26" s="24" customFormat="1" ht="15">
      <c r="A102" s="147">
        <v>85</v>
      </c>
      <c r="B102" s="148" t="s">
        <v>524</v>
      </c>
      <c r="C102" s="149" t="s">
        <v>155</v>
      </c>
      <c r="D102" s="150">
        <v>1.1</v>
      </c>
      <c r="E102" s="151">
        <v>2.15</v>
      </c>
      <c r="F102" s="147" t="s">
        <v>437</v>
      </c>
      <c r="G102" s="156">
        <f t="shared" si="13"/>
        <v>2.15</v>
      </c>
      <c r="H102" s="147">
        <v>0</v>
      </c>
      <c r="I102" s="151">
        <f t="shared" si="14"/>
        <v>2.15</v>
      </c>
      <c r="J102" s="151">
        <f t="shared" si="20"/>
        <v>1.0499999999999998</v>
      </c>
      <c r="K102" s="151">
        <f t="shared" si="18"/>
        <v>1.0499999999999998</v>
      </c>
      <c r="L102" s="152" t="s">
        <v>435</v>
      </c>
      <c r="M102" s="131"/>
      <c r="N102" s="138">
        <v>85</v>
      </c>
      <c r="O102" s="153" t="s">
        <v>524</v>
      </c>
      <c r="P102" s="154" t="s">
        <v>155</v>
      </c>
      <c r="Q102" s="155">
        <v>0.014</v>
      </c>
      <c r="R102" s="150">
        <f t="shared" si="21"/>
        <v>1.114</v>
      </c>
      <c r="S102" s="151">
        <v>2.15</v>
      </c>
      <c r="T102" s="147" t="s">
        <v>437</v>
      </c>
      <c r="U102" s="156">
        <f t="shared" si="15"/>
        <v>2.15</v>
      </c>
      <c r="V102" s="147">
        <v>0</v>
      </c>
      <c r="W102" s="151">
        <f t="shared" si="16"/>
        <v>2.15</v>
      </c>
      <c r="X102" s="151">
        <f t="shared" si="17"/>
        <v>1.0359999999999998</v>
      </c>
      <c r="Y102" s="151">
        <f t="shared" si="19"/>
        <v>1.0359999999999998</v>
      </c>
      <c r="Z102" s="152" t="s">
        <v>435</v>
      </c>
    </row>
    <row r="103" spans="1:26" s="24" customFormat="1" ht="15">
      <c r="A103" s="147">
        <v>86</v>
      </c>
      <c r="B103" s="148" t="s">
        <v>525</v>
      </c>
      <c r="C103" s="149" t="s">
        <v>151</v>
      </c>
      <c r="D103" s="168">
        <v>0.04</v>
      </c>
      <c r="E103" s="151">
        <v>1.4</v>
      </c>
      <c r="F103" s="147" t="s">
        <v>437</v>
      </c>
      <c r="G103" s="156">
        <f t="shared" si="13"/>
        <v>1.4</v>
      </c>
      <c r="H103" s="147">
        <v>0</v>
      </c>
      <c r="I103" s="151">
        <f t="shared" si="14"/>
        <v>1.4</v>
      </c>
      <c r="J103" s="151">
        <f t="shared" si="20"/>
        <v>1.3599999999999999</v>
      </c>
      <c r="K103" s="151">
        <f t="shared" si="18"/>
        <v>1.3599999999999999</v>
      </c>
      <c r="L103" s="152" t="s">
        <v>435</v>
      </c>
      <c r="M103" s="131"/>
      <c r="N103" s="138">
        <v>86</v>
      </c>
      <c r="O103" s="153" t="s">
        <v>525</v>
      </c>
      <c r="P103" s="154" t="s">
        <v>151</v>
      </c>
      <c r="Q103" s="155">
        <v>0.008</v>
      </c>
      <c r="R103" s="150">
        <f t="shared" si="21"/>
        <v>0.048</v>
      </c>
      <c r="S103" s="151">
        <v>1.4</v>
      </c>
      <c r="T103" s="147" t="s">
        <v>437</v>
      </c>
      <c r="U103" s="156">
        <f t="shared" si="15"/>
        <v>1.4</v>
      </c>
      <c r="V103" s="147">
        <v>0</v>
      </c>
      <c r="W103" s="151">
        <f t="shared" si="16"/>
        <v>1.4</v>
      </c>
      <c r="X103" s="151">
        <f t="shared" si="17"/>
        <v>1.3519999999999999</v>
      </c>
      <c r="Y103" s="151">
        <f t="shared" si="19"/>
        <v>1.3519999999999999</v>
      </c>
      <c r="Z103" s="152" t="s">
        <v>435</v>
      </c>
    </row>
    <row r="104" spans="1:26" s="24" customFormat="1" ht="15">
      <c r="A104" s="147">
        <v>87</v>
      </c>
      <c r="B104" s="148" t="s">
        <v>526</v>
      </c>
      <c r="C104" s="149" t="s">
        <v>151</v>
      </c>
      <c r="D104" s="150">
        <v>0.4</v>
      </c>
      <c r="E104" s="151">
        <v>1.56</v>
      </c>
      <c r="F104" s="147" t="s">
        <v>437</v>
      </c>
      <c r="G104" s="156">
        <f t="shared" si="13"/>
        <v>1.56</v>
      </c>
      <c r="H104" s="147">
        <v>0</v>
      </c>
      <c r="I104" s="151">
        <f t="shared" si="14"/>
        <v>1.56</v>
      </c>
      <c r="J104" s="151">
        <f t="shared" si="20"/>
        <v>1.1600000000000001</v>
      </c>
      <c r="K104" s="151">
        <f t="shared" si="18"/>
        <v>1.1600000000000001</v>
      </c>
      <c r="L104" s="152" t="s">
        <v>435</v>
      </c>
      <c r="M104" s="131"/>
      <c r="N104" s="138">
        <v>87</v>
      </c>
      <c r="O104" s="153" t="s">
        <v>526</v>
      </c>
      <c r="P104" s="154" t="s">
        <v>151</v>
      </c>
      <c r="Q104" s="155">
        <v>0.035</v>
      </c>
      <c r="R104" s="150">
        <f t="shared" si="21"/>
        <v>0.43500000000000005</v>
      </c>
      <c r="S104" s="151">
        <v>1.56</v>
      </c>
      <c r="T104" s="147" t="s">
        <v>437</v>
      </c>
      <c r="U104" s="156">
        <f t="shared" si="15"/>
        <v>1.56</v>
      </c>
      <c r="V104" s="147">
        <v>0</v>
      </c>
      <c r="W104" s="151">
        <f t="shared" si="16"/>
        <v>1.56</v>
      </c>
      <c r="X104" s="151">
        <f t="shared" si="17"/>
        <v>1.125</v>
      </c>
      <c r="Y104" s="151">
        <f t="shared" si="19"/>
        <v>1.125</v>
      </c>
      <c r="Z104" s="152" t="s">
        <v>435</v>
      </c>
    </row>
    <row r="105" spans="1:26" s="24" customFormat="1" ht="15">
      <c r="A105" s="147">
        <v>88</v>
      </c>
      <c r="B105" s="148" t="s">
        <v>527</v>
      </c>
      <c r="C105" s="149" t="s">
        <v>151</v>
      </c>
      <c r="D105" s="150">
        <v>0.5</v>
      </c>
      <c r="E105" s="151">
        <v>0.97</v>
      </c>
      <c r="F105" s="147" t="s">
        <v>437</v>
      </c>
      <c r="G105" s="156">
        <f t="shared" si="13"/>
        <v>0.97</v>
      </c>
      <c r="H105" s="147">
        <v>0</v>
      </c>
      <c r="I105" s="151">
        <f t="shared" si="14"/>
        <v>0.97</v>
      </c>
      <c r="J105" s="151">
        <f t="shared" si="20"/>
        <v>0.47</v>
      </c>
      <c r="K105" s="151">
        <f t="shared" si="18"/>
        <v>0.47</v>
      </c>
      <c r="L105" s="152" t="s">
        <v>435</v>
      </c>
      <c r="M105" s="131"/>
      <c r="N105" s="138">
        <v>88</v>
      </c>
      <c r="O105" s="153" t="s">
        <v>527</v>
      </c>
      <c r="P105" s="154" t="s">
        <v>151</v>
      </c>
      <c r="Q105" s="155">
        <v>0.13</v>
      </c>
      <c r="R105" s="150">
        <f t="shared" si="21"/>
        <v>0.63</v>
      </c>
      <c r="S105" s="151">
        <v>0.97</v>
      </c>
      <c r="T105" s="147" t="s">
        <v>437</v>
      </c>
      <c r="U105" s="156">
        <f t="shared" si="15"/>
        <v>0.97</v>
      </c>
      <c r="V105" s="147">
        <v>0</v>
      </c>
      <c r="W105" s="151">
        <f t="shared" si="16"/>
        <v>0.97</v>
      </c>
      <c r="X105" s="151">
        <f t="shared" si="17"/>
        <v>0.33999999999999997</v>
      </c>
      <c r="Y105" s="151">
        <f t="shared" si="19"/>
        <v>0.33999999999999997</v>
      </c>
      <c r="Z105" s="152" t="s">
        <v>435</v>
      </c>
    </row>
    <row r="106" spans="1:26" s="24" customFormat="1" ht="15">
      <c r="A106" s="147">
        <v>89</v>
      </c>
      <c r="B106" s="148" t="s">
        <v>528</v>
      </c>
      <c r="C106" s="149" t="s">
        <v>155</v>
      </c>
      <c r="D106" s="150">
        <v>0.49</v>
      </c>
      <c r="E106" s="151">
        <v>0.64</v>
      </c>
      <c r="F106" s="147" t="s">
        <v>437</v>
      </c>
      <c r="G106" s="156">
        <f t="shared" si="13"/>
        <v>0.64</v>
      </c>
      <c r="H106" s="147">
        <v>0</v>
      </c>
      <c r="I106" s="151">
        <f t="shared" si="14"/>
        <v>0.64</v>
      </c>
      <c r="J106" s="151">
        <f t="shared" si="20"/>
        <v>0.15000000000000002</v>
      </c>
      <c r="K106" s="151">
        <f t="shared" si="18"/>
        <v>0.15000000000000002</v>
      </c>
      <c r="L106" s="152" t="s">
        <v>435</v>
      </c>
      <c r="M106" s="131"/>
      <c r="N106" s="138">
        <v>89</v>
      </c>
      <c r="O106" s="153" t="s">
        <v>528</v>
      </c>
      <c r="P106" s="154" t="s">
        <v>155</v>
      </c>
      <c r="Q106" s="155">
        <f>0.08+0.01</f>
        <v>0.09</v>
      </c>
      <c r="R106" s="150">
        <f t="shared" si="21"/>
        <v>0.58</v>
      </c>
      <c r="S106" s="151">
        <v>0.64</v>
      </c>
      <c r="T106" s="147" t="s">
        <v>437</v>
      </c>
      <c r="U106" s="156">
        <f t="shared" si="15"/>
        <v>0.64</v>
      </c>
      <c r="V106" s="147">
        <v>0</v>
      </c>
      <c r="W106" s="151">
        <f t="shared" si="16"/>
        <v>0.64</v>
      </c>
      <c r="X106" s="151">
        <f t="shared" si="17"/>
        <v>0.06000000000000005</v>
      </c>
      <c r="Y106" s="151">
        <f t="shared" si="19"/>
        <v>0.06000000000000005</v>
      </c>
      <c r="Z106" s="152" t="s">
        <v>435</v>
      </c>
    </row>
    <row r="107" spans="1:26" s="91" customFormat="1" ht="15">
      <c r="A107" s="147">
        <v>90</v>
      </c>
      <c r="B107" s="158" t="s">
        <v>529</v>
      </c>
      <c r="C107" s="149" t="s">
        <v>155</v>
      </c>
      <c r="D107" s="150">
        <v>1.46</v>
      </c>
      <c r="E107" s="150">
        <v>2.97</v>
      </c>
      <c r="F107" s="157" t="s">
        <v>437</v>
      </c>
      <c r="G107" s="159">
        <f t="shared" si="13"/>
        <v>2.97</v>
      </c>
      <c r="H107" s="157">
        <v>0</v>
      </c>
      <c r="I107" s="150">
        <f t="shared" si="14"/>
        <v>2.97</v>
      </c>
      <c r="J107" s="150">
        <f t="shared" si="20"/>
        <v>1.5100000000000002</v>
      </c>
      <c r="K107" s="150">
        <f t="shared" si="18"/>
        <v>1.5100000000000002</v>
      </c>
      <c r="L107" s="152" t="s">
        <v>435</v>
      </c>
      <c r="M107" s="169"/>
      <c r="N107" s="138">
        <v>90</v>
      </c>
      <c r="O107" s="162" t="s">
        <v>529</v>
      </c>
      <c r="P107" s="163" t="s">
        <v>155</v>
      </c>
      <c r="Q107" s="164">
        <f>0.952+0.298+0.327+0.284+0.215+0.22+0.2782+0.645+0.206</f>
        <v>3.4252000000000002</v>
      </c>
      <c r="R107" s="165">
        <f t="shared" si="21"/>
        <v>4.8852</v>
      </c>
      <c r="S107" s="165">
        <v>2.97</v>
      </c>
      <c r="T107" s="180" t="s">
        <v>437</v>
      </c>
      <c r="U107" s="167">
        <f t="shared" si="15"/>
        <v>2.97</v>
      </c>
      <c r="V107" s="166">
        <v>0</v>
      </c>
      <c r="W107" s="165">
        <f t="shared" si="16"/>
        <v>2.97</v>
      </c>
      <c r="X107" s="165">
        <f t="shared" si="17"/>
        <v>-1.9152</v>
      </c>
      <c r="Y107" s="165">
        <f t="shared" si="19"/>
        <v>-1.9152</v>
      </c>
      <c r="Z107" s="179" t="s">
        <v>436</v>
      </c>
    </row>
    <row r="108" spans="1:26" s="24" customFormat="1" ht="15">
      <c r="A108" s="147">
        <v>91</v>
      </c>
      <c r="B108" s="148" t="s">
        <v>530</v>
      </c>
      <c r="C108" s="149" t="s">
        <v>151</v>
      </c>
      <c r="D108" s="150">
        <v>0.6</v>
      </c>
      <c r="E108" s="151">
        <v>2.32</v>
      </c>
      <c r="F108" s="147" t="s">
        <v>437</v>
      </c>
      <c r="G108" s="156">
        <f t="shared" si="13"/>
        <v>2.32</v>
      </c>
      <c r="H108" s="147">
        <v>0</v>
      </c>
      <c r="I108" s="151">
        <f t="shared" si="14"/>
        <v>2.32</v>
      </c>
      <c r="J108" s="151">
        <f t="shared" si="20"/>
        <v>1.7199999999999998</v>
      </c>
      <c r="K108" s="151">
        <f t="shared" si="18"/>
        <v>1.7199999999999998</v>
      </c>
      <c r="L108" s="152" t="s">
        <v>435</v>
      </c>
      <c r="M108" s="131"/>
      <c r="N108" s="138">
        <v>91</v>
      </c>
      <c r="O108" s="153" t="s">
        <v>530</v>
      </c>
      <c r="P108" s="154" t="s">
        <v>151</v>
      </c>
      <c r="Q108" s="155">
        <f>0.48+0.01+0.01</f>
        <v>0.5</v>
      </c>
      <c r="R108" s="150">
        <f t="shared" si="21"/>
        <v>1.1</v>
      </c>
      <c r="S108" s="151">
        <v>2.32</v>
      </c>
      <c r="T108" s="147" t="s">
        <v>437</v>
      </c>
      <c r="U108" s="156">
        <f t="shared" si="15"/>
        <v>2.32</v>
      </c>
      <c r="V108" s="147">
        <v>0</v>
      </c>
      <c r="W108" s="151">
        <f t="shared" si="16"/>
        <v>2.32</v>
      </c>
      <c r="X108" s="151">
        <f t="shared" si="17"/>
        <v>1.2199999999999998</v>
      </c>
      <c r="Y108" s="151">
        <f t="shared" si="19"/>
        <v>1.2199999999999998</v>
      </c>
      <c r="Z108" s="152" t="s">
        <v>435</v>
      </c>
    </row>
    <row r="109" spans="1:26" s="24" customFormat="1" ht="15">
      <c r="A109" s="147">
        <v>92</v>
      </c>
      <c r="B109" s="148" t="s">
        <v>531</v>
      </c>
      <c r="C109" s="149" t="s">
        <v>151</v>
      </c>
      <c r="D109" s="168">
        <v>0.15</v>
      </c>
      <c r="E109" s="151">
        <v>1.4</v>
      </c>
      <c r="F109" s="147" t="s">
        <v>437</v>
      </c>
      <c r="G109" s="156">
        <f t="shared" si="13"/>
        <v>1.4</v>
      </c>
      <c r="H109" s="147">
        <v>0</v>
      </c>
      <c r="I109" s="151">
        <f t="shared" si="14"/>
        <v>1.4</v>
      </c>
      <c r="J109" s="151">
        <f t="shared" si="20"/>
        <v>1.25</v>
      </c>
      <c r="K109" s="151">
        <f t="shared" si="18"/>
        <v>1.25</v>
      </c>
      <c r="L109" s="152" t="s">
        <v>435</v>
      </c>
      <c r="M109" s="131"/>
      <c r="N109" s="138">
        <v>92</v>
      </c>
      <c r="O109" s="153" t="s">
        <v>531</v>
      </c>
      <c r="P109" s="154" t="s">
        <v>151</v>
      </c>
      <c r="Q109" s="155"/>
      <c r="R109" s="150">
        <f t="shared" si="21"/>
        <v>0.15</v>
      </c>
      <c r="S109" s="151">
        <v>1.4</v>
      </c>
      <c r="T109" s="147" t="s">
        <v>437</v>
      </c>
      <c r="U109" s="156">
        <f t="shared" si="15"/>
        <v>1.4</v>
      </c>
      <c r="V109" s="147">
        <v>0</v>
      </c>
      <c r="W109" s="151">
        <f t="shared" si="16"/>
        <v>1.4</v>
      </c>
      <c r="X109" s="151">
        <f t="shared" si="17"/>
        <v>1.25</v>
      </c>
      <c r="Y109" s="151">
        <f t="shared" si="19"/>
        <v>1.25</v>
      </c>
      <c r="Z109" s="152" t="s">
        <v>435</v>
      </c>
    </row>
    <row r="110" spans="1:26" s="24" customFormat="1" ht="15">
      <c r="A110" s="147">
        <v>93</v>
      </c>
      <c r="B110" s="148" t="s">
        <v>532</v>
      </c>
      <c r="C110" s="149" t="s">
        <v>151</v>
      </c>
      <c r="D110" s="168">
        <v>0.2</v>
      </c>
      <c r="E110" s="151">
        <v>1.4</v>
      </c>
      <c r="F110" s="147" t="s">
        <v>437</v>
      </c>
      <c r="G110" s="156">
        <f t="shared" si="13"/>
        <v>1.4</v>
      </c>
      <c r="H110" s="147">
        <v>0</v>
      </c>
      <c r="I110" s="151">
        <f t="shared" si="14"/>
        <v>1.4</v>
      </c>
      <c r="J110" s="151">
        <f t="shared" si="20"/>
        <v>1.2</v>
      </c>
      <c r="K110" s="151">
        <f t="shared" si="18"/>
        <v>1.2</v>
      </c>
      <c r="L110" s="152" t="s">
        <v>435</v>
      </c>
      <c r="M110" s="131"/>
      <c r="N110" s="138">
        <v>93</v>
      </c>
      <c r="O110" s="153" t="s">
        <v>532</v>
      </c>
      <c r="P110" s="154" t="s">
        <v>151</v>
      </c>
      <c r="Q110" s="155">
        <v>0.015</v>
      </c>
      <c r="R110" s="150">
        <f t="shared" si="21"/>
        <v>0.21500000000000002</v>
      </c>
      <c r="S110" s="151">
        <v>1.4</v>
      </c>
      <c r="T110" s="147" t="s">
        <v>437</v>
      </c>
      <c r="U110" s="156">
        <f t="shared" si="15"/>
        <v>1.4</v>
      </c>
      <c r="V110" s="147">
        <v>0</v>
      </c>
      <c r="W110" s="151">
        <f t="shared" si="16"/>
        <v>1.4</v>
      </c>
      <c r="X110" s="151">
        <f t="shared" si="17"/>
        <v>1.1849999999999998</v>
      </c>
      <c r="Y110" s="151">
        <f t="shared" si="19"/>
        <v>1.1849999999999998</v>
      </c>
      <c r="Z110" s="152" t="s">
        <v>435</v>
      </c>
    </row>
    <row r="111" spans="1:26" s="24" customFormat="1" ht="15">
      <c r="A111" s="147">
        <v>94</v>
      </c>
      <c r="B111" s="148" t="s">
        <v>533</v>
      </c>
      <c r="C111" s="149" t="s">
        <v>150</v>
      </c>
      <c r="D111" s="150">
        <v>1.03</v>
      </c>
      <c r="E111" s="151">
        <v>2.15</v>
      </c>
      <c r="F111" s="147" t="s">
        <v>437</v>
      </c>
      <c r="G111" s="156">
        <f t="shared" si="13"/>
        <v>2.15</v>
      </c>
      <c r="H111" s="147">
        <v>0</v>
      </c>
      <c r="I111" s="151">
        <f t="shared" si="14"/>
        <v>2.15</v>
      </c>
      <c r="J111" s="151">
        <f t="shared" si="20"/>
        <v>1.1199999999999999</v>
      </c>
      <c r="K111" s="151">
        <f t="shared" si="18"/>
        <v>1.1199999999999999</v>
      </c>
      <c r="L111" s="152" t="s">
        <v>435</v>
      </c>
      <c r="M111" s="131"/>
      <c r="N111" s="138">
        <v>94</v>
      </c>
      <c r="O111" s="153" t="s">
        <v>533</v>
      </c>
      <c r="P111" s="154" t="s">
        <v>150</v>
      </c>
      <c r="Q111" s="155">
        <f>0.158+0.036+0.015+0.11+0.015</f>
        <v>0.334</v>
      </c>
      <c r="R111" s="150">
        <f t="shared" si="21"/>
        <v>1.364</v>
      </c>
      <c r="S111" s="151">
        <v>2.15</v>
      </c>
      <c r="T111" s="147" t="s">
        <v>437</v>
      </c>
      <c r="U111" s="156">
        <f t="shared" si="15"/>
        <v>2.15</v>
      </c>
      <c r="V111" s="147">
        <v>0</v>
      </c>
      <c r="W111" s="151">
        <f t="shared" si="16"/>
        <v>2.15</v>
      </c>
      <c r="X111" s="151">
        <f t="shared" si="17"/>
        <v>0.7859999999999998</v>
      </c>
      <c r="Y111" s="151">
        <f t="shared" si="19"/>
        <v>0.7859999999999998</v>
      </c>
      <c r="Z111" s="152" t="s">
        <v>435</v>
      </c>
    </row>
    <row r="112" spans="1:26" s="24" customFormat="1" ht="15">
      <c r="A112" s="147">
        <v>95</v>
      </c>
      <c r="B112" s="148" t="s">
        <v>534</v>
      </c>
      <c r="C112" s="149" t="s">
        <v>151</v>
      </c>
      <c r="D112" s="168">
        <v>0.04</v>
      </c>
      <c r="E112" s="151">
        <v>0.74</v>
      </c>
      <c r="F112" s="147" t="s">
        <v>437</v>
      </c>
      <c r="G112" s="156">
        <f t="shared" si="13"/>
        <v>0.74</v>
      </c>
      <c r="H112" s="147">
        <v>0</v>
      </c>
      <c r="I112" s="151">
        <f t="shared" si="14"/>
        <v>0.74</v>
      </c>
      <c r="J112" s="151">
        <f t="shared" si="20"/>
        <v>0.7</v>
      </c>
      <c r="K112" s="151">
        <f t="shared" si="18"/>
        <v>0.7</v>
      </c>
      <c r="L112" s="152" t="s">
        <v>435</v>
      </c>
      <c r="M112" s="131"/>
      <c r="N112" s="138">
        <v>95</v>
      </c>
      <c r="O112" s="153" t="s">
        <v>534</v>
      </c>
      <c r="P112" s="154" t="s">
        <v>151</v>
      </c>
      <c r="Q112" s="155">
        <v>0.01</v>
      </c>
      <c r="R112" s="150">
        <f t="shared" si="21"/>
        <v>0.05</v>
      </c>
      <c r="S112" s="151">
        <v>0.74</v>
      </c>
      <c r="T112" s="147" t="s">
        <v>437</v>
      </c>
      <c r="U112" s="156">
        <f t="shared" si="15"/>
        <v>0.74</v>
      </c>
      <c r="V112" s="147">
        <v>0</v>
      </c>
      <c r="W112" s="151">
        <f t="shared" si="16"/>
        <v>0.74</v>
      </c>
      <c r="X112" s="151">
        <f t="shared" si="17"/>
        <v>0.69</v>
      </c>
      <c r="Y112" s="151">
        <f t="shared" si="19"/>
        <v>0.69</v>
      </c>
      <c r="Z112" s="152" t="s">
        <v>435</v>
      </c>
    </row>
    <row r="113" spans="1:26" s="24" customFormat="1" ht="15">
      <c r="A113" s="147">
        <v>96</v>
      </c>
      <c r="B113" s="148" t="s">
        <v>535</v>
      </c>
      <c r="C113" s="149" t="s">
        <v>151</v>
      </c>
      <c r="D113" s="150">
        <v>0.19</v>
      </c>
      <c r="E113" s="151">
        <v>2.15</v>
      </c>
      <c r="F113" s="147" t="s">
        <v>437</v>
      </c>
      <c r="G113" s="156">
        <f t="shared" si="13"/>
        <v>2.15</v>
      </c>
      <c r="H113" s="147">
        <v>0</v>
      </c>
      <c r="I113" s="151">
        <f t="shared" si="14"/>
        <v>2.15</v>
      </c>
      <c r="J113" s="151">
        <f t="shared" si="20"/>
        <v>1.96</v>
      </c>
      <c r="K113" s="151">
        <f t="shared" si="18"/>
        <v>1.96</v>
      </c>
      <c r="L113" s="152" t="s">
        <v>435</v>
      </c>
      <c r="M113" s="131"/>
      <c r="N113" s="138">
        <v>96</v>
      </c>
      <c r="O113" s="153" t="s">
        <v>535</v>
      </c>
      <c r="P113" s="154" t="s">
        <v>151</v>
      </c>
      <c r="Q113" s="155">
        <v>0.035</v>
      </c>
      <c r="R113" s="150">
        <f t="shared" si="21"/>
        <v>0.225</v>
      </c>
      <c r="S113" s="151">
        <v>2.15</v>
      </c>
      <c r="T113" s="147" t="s">
        <v>437</v>
      </c>
      <c r="U113" s="156">
        <f t="shared" si="15"/>
        <v>2.15</v>
      </c>
      <c r="V113" s="147">
        <v>0</v>
      </c>
      <c r="W113" s="151">
        <f t="shared" si="16"/>
        <v>2.15</v>
      </c>
      <c r="X113" s="151">
        <f t="shared" si="17"/>
        <v>1.9249999999999998</v>
      </c>
      <c r="Y113" s="151">
        <f t="shared" si="19"/>
        <v>1.9249999999999998</v>
      </c>
      <c r="Z113" s="152" t="s">
        <v>435</v>
      </c>
    </row>
    <row r="114" spans="1:26" s="24" customFormat="1" ht="15">
      <c r="A114" s="147">
        <v>97</v>
      </c>
      <c r="B114" s="148" t="s">
        <v>536</v>
      </c>
      <c r="C114" s="149" t="s">
        <v>156</v>
      </c>
      <c r="D114" s="150">
        <v>0.35</v>
      </c>
      <c r="E114" s="151">
        <v>2.15</v>
      </c>
      <c r="F114" s="147" t="s">
        <v>437</v>
      </c>
      <c r="G114" s="156">
        <f t="shared" si="13"/>
        <v>2.15</v>
      </c>
      <c r="H114" s="147">
        <v>0</v>
      </c>
      <c r="I114" s="151">
        <f t="shared" si="14"/>
        <v>2.15</v>
      </c>
      <c r="J114" s="151">
        <f t="shared" si="20"/>
        <v>1.7999999999999998</v>
      </c>
      <c r="K114" s="151">
        <f t="shared" si="18"/>
        <v>1.7999999999999998</v>
      </c>
      <c r="L114" s="152" t="s">
        <v>435</v>
      </c>
      <c r="M114" s="131"/>
      <c r="N114" s="138">
        <v>97</v>
      </c>
      <c r="O114" s="153" t="s">
        <v>536</v>
      </c>
      <c r="P114" s="154" t="s">
        <v>156</v>
      </c>
      <c r="Q114" s="155">
        <v>0.009</v>
      </c>
      <c r="R114" s="150">
        <f t="shared" si="21"/>
        <v>0.359</v>
      </c>
      <c r="S114" s="151">
        <v>2.15</v>
      </c>
      <c r="T114" s="147" t="s">
        <v>437</v>
      </c>
      <c r="U114" s="156">
        <f t="shared" si="15"/>
        <v>2.15</v>
      </c>
      <c r="V114" s="147">
        <v>0</v>
      </c>
      <c r="W114" s="151">
        <f t="shared" si="16"/>
        <v>2.15</v>
      </c>
      <c r="X114" s="151">
        <f t="shared" si="17"/>
        <v>1.791</v>
      </c>
      <c r="Y114" s="151">
        <f t="shared" si="19"/>
        <v>1.791</v>
      </c>
      <c r="Z114" s="152" t="s">
        <v>435</v>
      </c>
    </row>
    <row r="115" spans="1:26" s="27" customFormat="1" ht="15">
      <c r="A115" s="147">
        <v>98</v>
      </c>
      <c r="B115" s="148" t="s">
        <v>537</v>
      </c>
      <c r="C115" s="149" t="s">
        <v>155</v>
      </c>
      <c r="D115" s="150">
        <v>2.2</v>
      </c>
      <c r="E115" s="151">
        <v>3.3</v>
      </c>
      <c r="F115" s="147" t="s">
        <v>437</v>
      </c>
      <c r="G115" s="156">
        <f t="shared" si="13"/>
        <v>3.3</v>
      </c>
      <c r="H115" s="147">
        <v>0</v>
      </c>
      <c r="I115" s="151">
        <f t="shared" si="14"/>
        <v>3.3</v>
      </c>
      <c r="J115" s="151">
        <f t="shared" si="20"/>
        <v>1.0999999999999996</v>
      </c>
      <c r="K115" s="151">
        <f t="shared" si="18"/>
        <v>1.0999999999999996</v>
      </c>
      <c r="L115" s="152" t="s">
        <v>435</v>
      </c>
      <c r="M115" s="131"/>
      <c r="N115" s="138">
        <v>98</v>
      </c>
      <c r="O115" s="153" t="s">
        <v>537</v>
      </c>
      <c r="P115" s="154" t="s">
        <v>155</v>
      </c>
      <c r="Q115" s="155">
        <f>0.097+0.015</f>
        <v>0.112</v>
      </c>
      <c r="R115" s="150">
        <f t="shared" si="21"/>
        <v>2.3120000000000003</v>
      </c>
      <c r="S115" s="151">
        <v>3.3</v>
      </c>
      <c r="T115" s="147" t="s">
        <v>437</v>
      </c>
      <c r="U115" s="156">
        <f t="shared" si="15"/>
        <v>3.3</v>
      </c>
      <c r="V115" s="147">
        <v>0</v>
      </c>
      <c r="W115" s="151">
        <f t="shared" si="16"/>
        <v>3.3</v>
      </c>
      <c r="X115" s="151">
        <f t="shared" si="17"/>
        <v>0.9879999999999995</v>
      </c>
      <c r="Y115" s="151">
        <f t="shared" si="19"/>
        <v>0.9879999999999995</v>
      </c>
      <c r="Z115" s="152" t="s">
        <v>435</v>
      </c>
    </row>
    <row r="116" spans="1:26" s="27" customFormat="1" ht="15">
      <c r="A116" s="147">
        <v>99</v>
      </c>
      <c r="B116" s="148" t="s">
        <v>538</v>
      </c>
      <c r="C116" s="149" t="s">
        <v>155</v>
      </c>
      <c r="D116" s="150">
        <v>0</v>
      </c>
      <c r="E116" s="151">
        <v>0.74</v>
      </c>
      <c r="F116" s="147" t="s">
        <v>437</v>
      </c>
      <c r="G116" s="156">
        <f t="shared" si="13"/>
        <v>0.74</v>
      </c>
      <c r="H116" s="147">
        <v>0</v>
      </c>
      <c r="I116" s="151">
        <f t="shared" si="14"/>
        <v>0.74</v>
      </c>
      <c r="J116" s="151">
        <f t="shared" si="20"/>
        <v>0.74</v>
      </c>
      <c r="K116" s="151">
        <f t="shared" si="18"/>
        <v>0.74</v>
      </c>
      <c r="L116" s="152" t="s">
        <v>435</v>
      </c>
      <c r="M116" s="131"/>
      <c r="N116" s="138">
        <v>99</v>
      </c>
      <c r="O116" s="153" t="s">
        <v>538</v>
      </c>
      <c r="P116" s="154" t="s">
        <v>155</v>
      </c>
      <c r="Q116" s="155">
        <f>0.018+0.015</f>
        <v>0.033</v>
      </c>
      <c r="R116" s="150">
        <f t="shared" si="21"/>
        <v>0.033</v>
      </c>
      <c r="S116" s="151">
        <v>0.74</v>
      </c>
      <c r="T116" s="147" t="s">
        <v>437</v>
      </c>
      <c r="U116" s="156">
        <f t="shared" si="15"/>
        <v>0.74</v>
      </c>
      <c r="V116" s="147">
        <v>0</v>
      </c>
      <c r="W116" s="151">
        <f t="shared" si="16"/>
        <v>0.74</v>
      </c>
      <c r="X116" s="151">
        <f t="shared" si="17"/>
        <v>0.707</v>
      </c>
      <c r="Y116" s="151">
        <f t="shared" si="19"/>
        <v>0.707</v>
      </c>
      <c r="Z116" s="152" t="s">
        <v>435</v>
      </c>
    </row>
    <row r="117" spans="1:26" s="24" customFormat="1" ht="15">
      <c r="A117" s="147">
        <v>100</v>
      </c>
      <c r="B117" s="158" t="s">
        <v>539</v>
      </c>
      <c r="C117" s="149" t="s">
        <v>151</v>
      </c>
      <c r="D117" s="175">
        <v>0.44</v>
      </c>
      <c r="E117" s="150">
        <v>1.1</v>
      </c>
      <c r="F117" s="147" t="s">
        <v>437</v>
      </c>
      <c r="G117" s="159">
        <f t="shared" si="13"/>
        <v>1.1</v>
      </c>
      <c r="H117" s="157">
        <v>0</v>
      </c>
      <c r="I117" s="150">
        <f t="shared" si="14"/>
        <v>1.1</v>
      </c>
      <c r="J117" s="150">
        <f t="shared" si="20"/>
        <v>0.6600000000000001</v>
      </c>
      <c r="K117" s="150">
        <f t="shared" si="18"/>
        <v>0.6600000000000001</v>
      </c>
      <c r="L117" s="152" t="s">
        <v>435</v>
      </c>
      <c r="M117" s="169"/>
      <c r="N117" s="138">
        <v>100</v>
      </c>
      <c r="O117" s="162" t="s">
        <v>539</v>
      </c>
      <c r="P117" s="163" t="s">
        <v>151</v>
      </c>
      <c r="Q117" s="164">
        <f>0.916+0.015</f>
        <v>0.931</v>
      </c>
      <c r="R117" s="165">
        <f t="shared" si="21"/>
        <v>1.371</v>
      </c>
      <c r="S117" s="165">
        <v>1.1</v>
      </c>
      <c r="T117" s="180" t="s">
        <v>437</v>
      </c>
      <c r="U117" s="167">
        <f t="shared" si="15"/>
        <v>1.1</v>
      </c>
      <c r="V117" s="166">
        <v>0</v>
      </c>
      <c r="W117" s="165">
        <f t="shared" si="16"/>
        <v>1.1</v>
      </c>
      <c r="X117" s="165">
        <f t="shared" si="17"/>
        <v>-0.2709999999999999</v>
      </c>
      <c r="Y117" s="165">
        <f t="shared" si="19"/>
        <v>-0.2709999999999999</v>
      </c>
      <c r="Z117" s="179" t="s">
        <v>436</v>
      </c>
    </row>
    <row r="118" spans="1:26" s="24" customFormat="1" ht="15">
      <c r="A118" s="147">
        <v>101</v>
      </c>
      <c r="B118" s="148" t="s">
        <v>540</v>
      </c>
      <c r="C118" s="149" t="s">
        <v>156</v>
      </c>
      <c r="D118" s="150">
        <v>1.16</v>
      </c>
      <c r="E118" s="151">
        <v>1.6</v>
      </c>
      <c r="F118" s="147" t="s">
        <v>437</v>
      </c>
      <c r="G118" s="156">
        <f t="shared" si="13"/>
        <v>1.6</v>
      </c>
      <c r="H118" s="147">
        <v>0</v>
      </c>
      <c r="I118" s="151">
        <f t="shared" si="14"/>
        <v>1.6</v>
      </c>
      <c r="J118" s="151">
        <f t="shared" si="20"/>
        <v>0.44000000000000017</v>
      </c>
      <c r="K118" s="151">
        <f t="shared" si="18"/>
        <v>0.44000000000000017</v>
      </c>
      <c r="L118" s="152" t="s">
        <v>435</v>
      </c>
      <c r="M118" s="131"/>
      <c r="N118" s="138">
        <v>101</v>
      </c>
      <c r="O118" s="162" t="s">
        <v>540</v>
      </c>
      <c r="P118" s="163" t="s">
        <v>156</v>
      </c>
      <c r="Q118" s="164">
        <v>1.385</v>
      </c>
      <c r="R118" s="165">
        <f t="shared" si="21"/>
        <v>2.545</v>
      </c>
      <c r="S118" s="165">
        <v>1.6</v>
      </c>
      <c r="T118" s="180" t="s">
        <v>437</v>
      </c>
      <c r="U118" s="167">
        <f t="shared" si="15"/>
        <v>1.6</v>
      </c>
      <c r="V118" s="166">
        <v>0</v>
      </c>
      <c r="W118" s="165">
        <f t="shared" si="16"/>
        <v>1.6</v>
      </c>
      <c r="X118" s="165">
        <f t="shared" si="17"/>
        <v>-0.9449999999999998</v>
      </c>
      <c r="Y118" s="165">
        <f t="shared" si="19"/>
        <v>-0.9449999999999998</v>
      </c>
      <c r="Z118" s="179" t="s">
        <v>436</v>
      </c>
    </row>
    <row r="119" spans="1:26" s="24" customFormat="1" ht="15">
      <c r="A119" s="147">
        <v>102</v>
      </c>
      <c r="B119" s="148" t="s">
        <v>541</v>
      </c>
      <c r="C119" s="149" t="s">
        <v>151</v>
      </c>
      <c r="D119" s="168">
        <v>0.18</v>
      </c>
      <c r="E119" s="151">
        <v>0.7</v>
      </c>
      <c r="F119" s="147" t="s">
        <v>437</v>
      </c>
      <c r="G119" s="156">
        <f t="shared" si="13"/>
        <v>0.7</v>
      </c>
      <c r="H119" s="147">
        <v>0</v>
      </c>
      <c r="I119" s="151">
        <f t="shared" si="14"/>
        <v>0.7</v>
      </c>
      <c r="J119" s="151">
        <f t="shared" si="20"/>
        <v>0.52</v>
      </c>
      <c r="K119" s="151">
        <f t="shared" si="18"/>
        <v>0.52</v>
      </c>
      <c r="L119" s="152" t="s">
        <v>435</v>
      </c>
      <c r="M119" s="131"/>
      <c r="N119" s="138">
        <v>102</v>
      </c>
      <c r="O119" s="153" t="s">
        <v>541</v>
      </c>
      <c r="P119" s="154" t="s">
        <v>151</v>
      </c>
      <c r="Q119" s="155">
        <f>0.033+0.004+0.015</f>
        <v>0.052000000000000005</v>
      </c>
      <c r="R119" s="150">
        <f t="shared" si="21"/>
        <v>0.23199999999999998</v>
      </c>
      <c r="S119" s="151">
        <v>0.7</v>
      </c>
      <c r="T119" s="147" t="s">
        <v>437</v>
      </c>
      <c r="U119" s="156">
        <f t="shared" si="15"/>
        <v>0.7</v>
      </c>
      <c r="V119" s="147">
        <v>0</v>
      </c>
      <c r="W119" s="151">
        <f t="shared" si="16"/>
        <v>0.7</v>
      </c>
      <c r="X119" s="151">
        <f t="shared" si="17"/>
        <v>0.46799999999999997</v>
      </c>
      <c r="Y119" s="151">
        <f t="shared" si="19"/>
        <v>0.46799999999999997</v>
      </c>
      <c r="Z119" s="152" t="s">
        <v>435</v>
      </c>
    </row>
    <row r="120" spans="1:26" s="24" customFormat="1" ht="15">
      <c r="A120" s="147">
        <v>103</v>
      </c>
      <c r="B120" s="148" t="s">
        <v>542</v>
      </c>
      <c r="C120" s="149" t="s">
        <v>155</v>
      </c>
      <c r="D120" s="150">
        <v>0.38</v>
      </c>
      <c r="E120" s="151">
        <v>2.3</v>
      </c>
      <c r="F120" s="147" t="s">
        <v>437</v>
      </c>
      <c r="G120" s="156">
        <f t="shared" si="13"/>
        <v>2.3</v>
      </c>
      <c r="H120" s="147">
        <v>0</v>
      </c>
      <c r="I120" s="151">
        <f t="shared" si="14"/>
        <v>2.3</v>
      </c>
      <c r="J120" s="151">
        <f t="shared" si="20"/>
        <v>1.92</v>
      </c>
      <c r="K120" s="151">
        <f t="shared" si="18"/>
        <v>1.92</v>
      </c>
      <c r="L120" s="152" t="s">
        <v>435</v>
      </c>
      <c r="M120" s="131"/>
      <c r="N120" s="138">
        <v>103</v>
      </c>
      <c r="O120" s="153" t="s">
        <v>542</v>
      </c>
      <c r="P120" s="154" t="s">
        <v>155</v>
      </c>
      <c r="Q120" s="155">
        <f>0.2418+0.105</f>
        <v>0.3468</v>
      </c>
      <c r="R120" s="150">
        <f t="shared" si="21"/>
        <v>0.7268</v>
      </c>
      <c r="S120" s="151">
        <v>2.3</v>
      </c>
      <c r="T120" s="147" t="s">
        <v>437</v>
      </c>
      <c r="U120" s="156">
        <f t="shared" si="15"/>
        <v>2.3</v>
      </c>
      <c r="V120" s="147">
        <v>0</v>
      </c>
      <c r="W120" s="151">
        <f t="shared" si="16"/>
        <v>2.3</v>
      </c>
      <c r="X120" s="151">
        <f t="shared" si="17"/>
        <v>1.5732</v>
      </c>
      <c r="Y120" s="151">
        <f t="shared" si="19"/>
        <v>1.5732</v>
      </c>
      <c r="Z120" s="152" t="s">
        <v>435</v>
      </c>
    </row>
    <row r="121" spans="1:26" s="24" customFormat="1" ht="15">
      <c r="A121" s="147">
        <v>104</v>
      </c>
      <c r="B121" s="148" t="s">
        <v>543</v>
      </c>
      <c r="C121" s="149" t="s">
        <v>151</v>
      </c>
      <c r="D121" s="150">
        <v>0.4</v>
      </c>
      <c r="E121" s="151">
        <v>1.31</v>
      </c>
      <c r="F121" s="147" t="s">
        <v>437</v>
      </c>
      <c r="G121" s="156">
        <f t="shared" si="13"/>
        <v>1.31</v>
      </c>
      <c r="H121" s="147">
        <v>0</v>
      </c>
      <c r="I121" s="151">
        <f t="shared" si="14"/>
        <v>1.31</v>
      </c>
      <c r="J121" s="151">
        <f t="shared" si="20"/>
        <v>0.91</v>
      </c>
      <c r="K121" s="151">
        <f t="shared" si="18"/>
        <v>0.91</v>
      </c>
      <c r="L121" s="152" t="s">
        <v>435</v>
      </c>
      <c r="M121" s="131"/>
      <c r="N121" s="138">
        <v>104</v>
      </c>
      <c r="O121" s="153" t="s">
        <v>543</v>
      </c>
      <c r="P121" s="154" t="s">
        <v>151</v>
      </c>
      <c r="Q121" s="155">
        <f>0.018+0.007+0.005+0.0004</f>
        <v>0.0304</v>
      </c>
      <c r="R121" s="150">
        <f t="shared" si="21"/>
        <v>0.4304</v>
      </c>
      <c r="S121" s="151">
        <v>1.31</v>
      </c>
      <c r="T121" s="147" t="s">
        <v>437</v>
      </c>
      <c r="U121" s="156">
        <f t="shared" si="15"/>
        <v>1.31</v>
      </c>
      <c r="V121" s="147">
        <v>0</v>
      </c>
      <c r="W121" s="151">
        <f t="shared" si="16"/>
        <v>1.31</v>
      </c>
      <c r="X121" s="151">
        <f t="shared" si="17"/>
        <v>0.8796</v>
      </c>
      <c r="Y121" s="151">
        <f t="shared" si="19"/>
        <v>0.8796</v>
      </c>
      <c r="Z121" s="152" t="s">
        <v>435</v>
      </c>
    </row>
    <row r="122" spans="1:26" s="24" customFormat="1" ht="15">
      <c r="A122" s="147">
        <v>105</v>
      </c>
      <c r="B122" s="148" t="s">
        <v>544</v>
      </c>
      <c r="C122" s="149" t="s">
        <v>154</v>
      </c>
      <c r="D122" s="150">
        <v>0.23</v>
      </c>
      <c r="E122" s="151">
        <v>1.43</v>
      </c>
      <c r="F122" s="147" t="s">
        <v>437</v>
      </c>
      <c r="G122" s="156">
        <f t="shared" si="13"/>
        <v>1.43</v>
      </c>
      <c r="H122" s="147">
        <v>0</v>
      </c>
      <c r="I122" s="151">
        <f t="shared" si="14"/>
        <v>1.43</v>
      </c>
      <c r="J122" s="151">
        <f t="shared" si="20"/>
        <v>1.2</v>
      </c>
      <c r="K122" s="151">
        <f t="shared" si="18"/>
        <v>1.2</v>
      </c>
      <c r="L122" s="152" t="s">
        <v>435</v>
      </c>
      <c r="M122" s="131"/>
      <c r="N122" s="138">
        <v>105</v>
      </c>
      <c r="O122" s="153" t="s">
        <v>544</v>
      </c>
      <c r="P122" s="154" t="s">
        <v>154</v>
      </c>
      <c r="Q122" s="155">
        <v>0.024</v>
      </c>
      <c r="R122" s="150">
        <f t="shared" si="21"/>
        <v>0.254</v>
      </c>
      <c r="S122" s="151">
        <v>1.43</v>
      </c>
      <c r="T122" s="147" t="s">
        <v>437</v>
      </c>
      <c r="U122" s="156">
        <f t="shared" si="15"/>
        <v>1.43</v>
      </c>
      <c r="V122" s="147">
        <v>0</v>
      </c>
      <c r="W122" s="151">
        <f t="shared" si="16"/>
        <v>1.43</v>
      </c>
      <c r="X122" s="151">
        <f t="shared" si="17"/>
        <v>1.176</v>
      </c>
      <c r="Y122" s="151">
        <f t="shared" si="19"/>
        <v>1.176</v>
      </c>
      <c r="Z122" s="152" t="s">
        <v>435</v>
      </c>
    </row>
    <row r="123" spans="1:26" s="24" customFormat="1" ht="15">
      <c r="A123" s="147">
        <v>106</v>
      </c>
      <c r="B123" s="148" t="s">
        <v>545</v>
      </c>
      <c r="C123" s="149" t="s">
        <v>151</v>
      </c>
      <c r="D123" s="168">
        <v>0.42</v>
      </c>
      <c r="E123" s="151">
        <v>0.94</v>
      </c>
      <c r="F123" s="147" t="s">
        <v>437</v>
      </c>
      <c r="G123" s="156">
        <f t="shared" si="13"/>
        <v>0.94</v>
      </c>
      <c r="H123" s="147">
        <v>0</v>
      </c>
      <c r="I123" s="151">
        <f t="shared" si="14"/>
        <v>0.94</v>
      </c>
      <c r="J123" s="151">
        <f t="shared" si="20"/>
        <v>0.52</v>
      </c>
      <c r="K123" s="151">
        <f t="shared" si="18"/>
        <v>0.52</v>
      </c>
      <c r="L123" s="152" t="s">
        <v>435</v>
      </c>
      <c r="M123" s="131"/>
      <c r="N123" s="138">
        <v>106</v>
      </c>
      <c r="O123" s="153" t="s">
        <v>545</v>
      </c>
      <c r="P123" s="154" t="s">
        <v>151</v>
      </c>
      <c r="Q123" s="155">
        <f>0.044+0.015</f>
        <v>0.059</v>
      </c>
      <c r="R123" s="150">
        <f t="shared" si="21"/>
        <v>0.479</v>
      </c>
      <c r="S123" s="151">
        <v>0.94</v>
      </c>
      <c r="T123" s="147" t="s">
        <v>437</v>
      </c>
      <c r="U123" s="156">
        <f t="shared" si="15"/>
        <v>0.94</v>
      </c>
      <c r="V123" s="147">
        <v>0</v>
      </c>
      <c r="W123" s="151">
        <f t="shared" si="16"/>
        <v>0.94</v>
      </c>
      <c r="X123" s="151">
        <f t="shared" si="17"/>
        <v>0.46099999999999997</v>
      </c>
      <c r="Y123" s="151">
        <f t="shared" si="19"/>
        <v>0.46099999999999997</v>
      </c>
      <c r="Z123" s="152" t="s">
        <v>435</v>
      </c>
    </row>
    <row r="124" spans="1:26" s="24" customFormat="1" ht="15">
      <c r="A124" s="147">
        <v>107</v>
      </c>
      <c r="B124" s="148" t="s">
        <v>546</v>
      </c>
      <c r="C124" s="149" t="s">
        <v>156</v>
      </c>
      <c r="D124" s="150">
        <v>0.53</v>
      </c>
      <c r="E124" s="151">
        <v>1.15</v>
      </c>
      <c r="F124" s="147" t="s">
        <v>437</v>
      </c>
      <c r="G124" s="156">
        <f t="shared" si="13"/>
        <v>1.15</v>
      </c>
      <c r="H124" s="147">
        <v>0</v>
      </c>
      <c r="I124" s="151">
        <f t="shared" si="14"/>
        <v>1.15</v>
      </c>
      <c r="J124" s="151">
        <f t="shared" si="20"/>
        <v>0.6199999999999999</v>
      </c>
      <c r="K124" s="151">
        <f t="shared" si="18"/>
        <v>0.6199999999999999</v>
      </c>
      <c r="L124" s="152" t="s">
        <v>435</v>
      </c>
      <c r="M124" s="131"/>
      <c r="N124" s="138">
        <v>107</v>
      </c>
      <c r="O124" s="153" t="s">
        <v>546</v>
      </c>
      <c r="P124" s="154" t="s">
        <v>156</v>
      </c>
      <c r="Q124" s="155">
        <f>0.023+0.008</f>
        <v>0.031</v>
      </c>
      <c r="R124" s="150">
        <f t="shared" si="21"/>
        <v>0.561</v>
      </c>
      <c r="S124" s="151">
        <v>1.15</v>
      </c>
      <c r="T124" s="147" t="s">
        <v>437</v>
      </c>
      <c r="U124" s="156">
        <f t="shared" si="15"/>
        <v>1.15</v>
      </c>
      <c r="V124" s="147">
        <v>0</v>
      </c>
      <c r="W124" s="151">
        <f t="shared" si="16"/>
        <v>1.15</v>
      </c>
      <c r="X124" s="151">
        <f t="shared" si="17"/>
        <v>0.5889999999999999</v>
      </c>
      <c r="Y124" s="151">
        <f t="shared" si="19"/>
        <v>0.5889999999999999</v>
      </c>
      <c r="Z124" s="152" t="s">
        <v>435</v>
      </c>
    </row>
    <row r="125" spans="1:26" s="24" customFormat="1" ht="15">
      <c r="A125" s="147">
        <v>108</v>
      </c>
      <c r="B125" s="148" t="s">
        <v>547</v>
      </c>
      <c r="C125" s="149" t="s">
        <v>151</v>
      </c>
      <c r="D125" s="150">
        <v>0.3</v>
      </c>
      <c r="E125" s="151">
        <v>1.25</v>
      </c>
      <c r="F125" s="147" t="s">
        <v>437</v>
      </c>
      <c r="G125" s="156">
        <f t="shared" si="13"/>
        <v>1.25</v>
      </c>
      <c r="H125" s="147">
        <v>0</v>
      </c>
      <c r="I125" s="151">
        <f t="shared" si="14"/>
        <v>1.25</v>
      </c>
      <c r="J125" s="151">
        <f t="shared" si="20"/>
        <v>0.95</v>
      </c>
      <c r="K125" s="151">
        <f t="shared" si="18"/>
        <v>0.95</v>
      </c>
      <c r="L125" s="152" t="s">
        <v>435</v>
      </c>
      <c r="M125" s="131"/>
      <c r="N125" s="138">
        <v>108</v>
      </c>
      <c r="O125" s="153" t="s">
        <v>547</v>
      </c>
      <c r="P125" s="154" t="s">
        <v>151</v>
      </c>
      <c r="Q125" s="155">
        <v>0.003</v>
      </c>
      <c r="R125" s="150">
        <f t="shared" si="21"/>
        <v>0.303</v>
      </c>
      <c r="S125" s="151">
        <v>1.25</v>
      </c>
      <c r="T125" s="147" t="s">
        <v>437</v>
      </c>
      <c r="U125" s="156">
        <f t="shared" si="15"/>
        <v>1.25</v>
      </c>
      <c r="V125" s="147">
        <v>0</v>
      </c>
      <c r="W125" s="151">
        <f t="shared" si="16"/>
        <v>1.25</v>
      </c>
      <c r="X125" s="151">
        <f t="shared" si="17"/>
        <v>0.9470000000000001</v>
      </c>
      <c r="Y125" s="151">
        <f t="shared" si="19"/>
        <v>0.9470000000000001</v>
      </c>
      <c r="Z125" s="152" t="s">
        <v>435</v>
      </c>
    </row>
    <row r="126" spans="1:26" s="24" customFormat="1" ht="15">
      <c r="A126" s="147">
        <v>109</v>
      </c>
      <c r="B126" s="148" t="s">
        <v>548</v>
      </c>
      <c r="C126" s="149" t="s">
        <v>151</v>
      </c>
      <c r="D126" s="150">
        <v>0.3</v>
      </c>
      <c r="E126" s="151">
        <v>2.7</v>
      </c>
      <c r="F126" s="147" t="s">
        <v>437</v>
      </c>
      <c r="G126" s="156">
        <f t="shared" si="13"/>
        <v>2.7</v>
      </c>
      <c r="H126" s="147">
        <v>0</v>
      </c>
      <c r="I126" s="151">
        <f t="shared" si="14"/>
        <v>2.7</v>
      </c>
      <c r="J126" s="151">
        <f t="shared" si="20"/>
        <v>2.4000000000000004</v>
      </c>
      <c r="K126" s="151">
        <f t="shared" si="18"/>
        <v>2.4000000000000004</v>
      </c>
      <c r="L126" s="152" t="s">
        <v>435</v>
      </c>
      <c r="M126" s="131"/>
      <c r="N126" s="138">
        <v>109</v>
      </c>
      <c r="O126" s="153" t="s">
        <v>548</v>
      </c>
      <c r="P126" s="154" t="s">
        <v>151</v>
      </c>
      <c r="Q126" s="155">
        <f>0.009+0.004+0.004+0.01</f>
        <v>0.027000000000000003</v>
      </c>
      <c r="R126" s="150">
        <f t="shared" si="21"/>
        <v>0.327</v>
      </c>
      <c r="S126" s="151">
        <v>2.7</v>
      </c>
      <c r="T126" s="147" t="s">
        <v>437</v>
      </c>
      <c r="U126" s="156">
        <f t="shared" si="15"/>
        <v>2.7</v>
      </c>
      <c r="V126" s="147">
        <v>0</v>
      </c>
      <c r="W126" s="151">
        <f t="shared" si="16"/>
        <v>2.7</v>
      </c>
      <c r="X126" s="151">
        <f t="shared" si="17"/>
        <v>2.373</v>
      </c>
      <c r="Y126" s="151">
        <f t="shared" si="19"/>
        <v>2.373</v>
      </c>
      <c r="Z126" s="152" t="s">
        <v>435</v>
      </c>
    </row>
    <row r="127" spans="1:26" s="24" customFormat="1" ht="15">
      <c r="A127" s="147">
        <v>110</v>
      </c>
      <c r="B127" s="148" t="s">
        <v>549</v>
      </c>
      <c r="C127" s="149" t="s">
        <v>151</v>
      </c>
      <c r="D127" s="150">
        <v>0.25</v>
      </c>
      <c r="E127" s="151">
        <v>1.43</v>
      </c>
      <c r="F127" s="147" t="s">
        <v>437</v>
      </c>
      <c r="G127" s="156">
        <f t="shared" si="13"/>
        <v>1.43</v>
      </c>
      <c r="H127" s="147">
        <v>0</v>
      </c>
      <c r="I127" s="151">
        <f t="shared" si="14"/>
        <v>1.43</v>
      </c>
      <c r="J127" s="151">
        <f t="shared" si="20"/>
        <v>1.18</v>
      </c>
      <c r="K127" s="151">
        <f t="shared" si="18"/>
        <v>1.18</v>
      </c>
      <c r="L127" s="152" t="s">
        <v>435</v>
      </c>
      <c r="M127" s="131"/>
      <c r="N127" s="138">
        <v>110</v>
      </c>
      <c r="O127" s="153" t="s">
        <v>549</v>
      </c>
      <c r="P127" s="154" t="s">
        <v>151</v>
      </c>
      <c r="Q127" s="155">
        <f>0.058+0.008+0.015</f>
        <v>0.081</v>
      </c>
      <c r="R127" s="150">
        <f t="shared" si="21"/>
        <v>0.331</v>
      </c>
      <c r="S127" s="151">
        <v>1.43</v>
      </c>
      <c r="T127" s="147" t="s">
        <v>437</v>
      </c>
      <c r="U127" s="156">
        <f t="shared" si="15"/>
        <v>1.43</v>
      </c>
      <c r="V127" s="147">
        <v>0</v>
      </c>
      <c r="W127" s="151">
        <f t="shared" si="16"/>
        <v>1.43</v>
      </c>
      <c r="X127" s="151">
        <f t="shared" si="17"/>
        <v>1.099</v>
      </c>
      <c r="Y127" s="151">
        <f t="shared" si="19"/>
        <v>1.099</v>
      </c>
      <c r="Z127" s="152" t="s">
        <v>435</v>
      </c>
    </row>
    <row r="128" spans="1:26" s="24" customFormat="1" ht="15">
      <c r="A128" s="147">
        <v>111</v>
      </c>
      <c r="B128" s="148" t="s">
        <v>550</v>
      </c>
      <c r="C128" s="149" t="s">
        <v>151</v>
      </c>
      <c r="D128" s="150">
        <v>0.88</v>
      </c>
      <c r="E128" s="151">
        <v>1.76</v>
      </c>
      <c r="F128" s="147" t="s">
        <v>437</v>
      </c>
      <c r="G128" s="156">
        <f t="shared" si="13"/>
        <v>1.76</v>
      </c>
      <c r="H128" s="147">
        <v>0</v>
      </c>
      <c r="I128" s="151">
        <f t="shared" si="14"/>
        <v>1.76</v>
      </c>
      <c r="J128" s="151">
        <f t="shared" si="20"/>
        <v>0.88</v>
      </c>
      <c r="K128" s="151">
        <f t="shared" si="18"/>
        <v>0.88</v>
      </c>
      <c r="L128" s="152" t="s">
        <v>435</v>
      </c>
      <c r="M128" s="131"/>
      <c r="N128" s="138">
        <v>111</v>
      </c>
      <c r="O128" s="153" t="s">
        <v>550</v>
      </c>
      <c r="P128" s="154" t="s">
        <v>151</v>
      </c>
      <c r="Q128" s="155">
        <f>0.09+0.005</f>
        <v>0.095</v>
      </c>
      <c r="R128" s="150">
        <f t="shared" si="21"/>
        <v>0.975</v>
      </c>
      <c r="S128" s="151">
        <v>1.76</v>
      </c>
      <c r="T128" s="147" t="s">
        <v>437</v>
      </c>
      <c r="U128" s="156">
        <f t="shared" si="15"/>
        <v>1.76</v>
      </c>
      <c r="V128" s="147">
        <v>0</v>
      </c>
      <c r="W128" s="151">
        <f t="shared" si="16"/>
        <v>1.76</v>
      </c>
      <c r="X128" s="151">
        <f t="shared" si="17"/>
        <v>0.785</v>
      </c>
      <c r="Y128" s="151">
        <f t="shared" si="19"/>
        <v>0.785</v>
      </c>
      <c r="Z128" s="152" t="s">
        <v>435</v>
      </c>
    </row>
    <row r="129" spans="1:26" s="24" customFormat="1" ht="15">
      <c r="A129" s="147">
        <v>112</v>
      </c>
      <c r="B129" s="148" t="s">
        <v>551</v>
      </c>
      <c r="C129" s="149" t="s">
        <v>156</v>
      </c>
      <c r="D129" s="150">
        <v>0.28</v>
      </c>
      <c r="E129" s="151">
        <v>1.1</v>
      </c>
      <c r="F129" s="147" t="s">
        <v>437</v>
      </c>
      <c r="G129" s="156">
        <f t="shared" si="13"/>
        <v>1.1</v>
      </c>
      <c r="H129" s="147">
        <v>0</v>
      </c>
      <c r="I129" s="151">
        <f t="shared" si="14"/>
        <v>1.1</v>
      </c>
      <c r="J129" s="151">
        <f t="shared" si="20"/>
        <v>0.8200000000000001</v>
      </c>
      <c r="K129" s="151">
        <f t="shared" si="18"/>
        <v>0.8200000000000001</v>
      </c>
      <c r="L129" s="152" t="s">
        <v>435</v>
      </c>
      <c r="M129" s="131"/>
      <c r="N129" s="138">
        <v>112</v>
      </c>
      <c r="O129" s="153" t="s">
        <v>551</v>
      </c>
      <c r="P129" s="154" t="s">
        <v>156</v>
      </c>
      <c r="Q129" s="155">
        <f>0.008+0.1</f>
        <v>0.10800000000000001</v>
      </c>
      <c r="R129" s="150">
        <f t="shared" si="21"/>
        <v>0.388</v>
      </c>
      <c r="S129" s="151">
        <v>1.1</v>
      </c>
      <c r="T129" s="147" t="s">
        <v>437</v>
      </c>
      <c r="U129" s="156">
        <f t="shared" si="15"/>
        <v>1.1</v>
      </c>
      <c r="V129" s="147">
        <v>0</v>
      </c>
      <c r="W129" s="151">
        <f t="shared" si="16"/>
        <v>1.1</v>
      </c>
      <c r="X129" s="151">
        <f t="shared" si="17"/>
        <v>0.7120000000000001</v>
      </c>
      <c r="Y129" s="151">
        <f t="shared" si="19"/>
        <v>0.7120000000000001</v>
      </c>
      <c r="Z129" s="152" t="s">
        <v>435</v>
      </c>
    </row>
    <row r="130" spans="1:26" s="24" customFormat="1" ht="15">
      <c r="A130" s="147">
        <v>113</v>
      </c>
      <c r="B130" s="148" t="s">
        <v>552</v>
      </c>
      <c r="C130" s="149" t="s">
        <v>151</v>
      </c>
      <c r="D130" s="150">
        <v>0.45</v>
      </c>
      <c r="E130" s="151">
        <v>1.4</v>
      </c>
      <c r="F130" s="147" t="s">
        <v>437</v>
      </c>
      <c r="G130" s="156">
        <f t="shared" si="13"/>
        <v>1.4</v>
      </c>
      <c r="H130" s="147">
        <v>0</v>
      </c>
      <c r="I130" s="151">
        <f t="shared" si="14"/>
        <v>1.4</v>
      </c>
      <c r="J130" s="151">
        <f aca="true" t="shared" si="22" ref="J130:J146">I130-D130</f>
        <v>0.95</v>
      </c>
      <c r="K130" s="151">
        <f t="shared" si="18"/>
        <v>0.95</v>
      </c>
      <c r="L130" s="152" t="s">
        <v>435</v>
      </c>
      <c r="M130" s="131"/>
      <c r="N130" s="138">
        <v>113</v>
      </c>
      <c r="O130" s="153" t="s">
        <v>552</v>
      </c>
      <c r="P130" s="154" t="s">
        <v>151</v>
      </c>
      <c r="Q130" s="155">
        <f>0.008+0.365</f>
        <v>0.373</v>
      </c>
      <c r="R130" s="150">
        <f aca="true" t="shared" si="23" ref="R130:R146">Q130+D130</f>
        <v>0.823</v>
      </c>
      <c r="S130" s="151">
        <v>1.4</v>
      </c>
      <c r="T130" s="147" t="s">
        <v>437</v>
      </c>
      <c r="U130" s="156">
        <f t="shared" si="15"/>
        <v>1.4</v>
      </c>
      <c r="V130" s="147">
        <v>0</v>
      </c>
      <c r="W130" s="151">
        <f t="shared" si="16"/>
        <v>1.4</v>
      </c>
      <c r="X130" s="151">
        <f t="shared" si="17"/>
        <v>0.577</v>
      </c>
      <c r="Y130" s="151">
        <f t="shared" si="19"/>
        <v>0.577</v>
      </c>
      <c r="Z130" s="152" t="s">
        <v>435</v>
      </c>
    </row>
    <row r="131" spans="1:26" s="24" customFormat="1" ht="15">
      <c r="A131" s="147">
        <v>114</v>
      </c>
      <c r="B131" s="148" t="s">
        <v>553</v>
      </c>
      <c r="C131" s="149" t="s">
        <v>151</v>
      </c>
      <c r="D131" s="150">
        <v>0.35</v>
      </c>
      <c r="E131" s="151">
        <v>1.3</v>
      </c>
      <c r="F131" s="147" t="s">
        <v>437</v>
      </c>
      <c r="G131" s="156">
        <f aca="true" t="shared" si="24" ref="G131:G146">E131</f>
        <v>1.3</v>
      </c>
      <c r="H131" s="147">
        <v>0</v>
      </c>
      <c r="I131" s="151">
        <f aca="true" t="shared" si="25" ref="I131:I146">G131-H131</f>
        <v>1.3</v>
      </c>
      <c r="J131" s="151">
        <f t="shared" si="22"/>
        <v>0.9500000000000001</v>
      </c>
      <c r="K131" s="151">
        <f t="shared" si="18"/>
        <v>0.9500000000000001</v>
      </c>
      <c r="L131" s="152" t="s">
        <v>435</v>
      </c>
      <c r="M131" s="131"/>
      <c r="N131" s="138">
        <v>114</v>
      </c>
      <c r="O131" s="153" t="s">
        <v>553</v>
      </c>
      <c r="P131" s="154" t="s">
        <v>151</v>
      </c>
      <c r="Q131" s="155">
        <f>0.038+0.015+0.012+0.03</f>
        <v>0.095</v>
      </c>
      <c r="R131" s="150">
        <f t="shared" si="23"/>
        <v>0.44499999999999995</v>
      </c>
      <c r="S131" s="151">
        <v>1.3</v>
      </c>
      <c r="T131" s="147" t="s">
        <v>437</v>
      </c>
      <c r="U131" s="156">
        <f aca="true" t="shared" si="26" ref="U131:U146">S131</f>
        <v>1.3</v>
      </c>
      <c r="V131" s="147">
        <v>0</v>
      </c>
      <c r="W131" s="151">
        <f aca="true" t="shared" si="27" ref="W131:W146">U131-V131</f>
        <v>1.3</v>
      </c>
      <c r="X131" s="151">
        <f aca="true" t="shared" si="28" ref="X131:X146">W131-R131</f>
        <v>0.8550000000000001</v>
      </c>
      <c r="Y131" s="151">
        <f t="shared" si="19"/>
        <v>0.8550000000000001</v>
      </c>
      <c r="Z131" s="152" t="s">
        <v>435</v>
      </c>
    </row>
    <row r="132" spans="1:26" s="24" customFormat="1" ht="15">
      <c r="A132" s="147">
        <v>115</v>
      </c>
      <c r="B132" s="148" t="s">
        <v>554</v>
      </c>
      <c r="C132" s="149" t="s">
        <v>151</v>
      </c>
      <c r="D132" s="150">
        <v>0.6</v>
      </c>
      <c r="E132" s="151">
        <v>1.34</v>
      </c>
      <c r="F132" s="147" t="s">
        <v>437</v>
      </c>
      <c r="G132" s="156">
        <f t="shared" si="24"/>
        <v>1.34</v>
      </c>
      <c r="H132" s="147">
        <v>0</v>
      </c>
      <c r="I132" s="151">
        <f t="shared" si="25"/>
        <v>1.34</v>
      </c>
      <c r="J132" s="151">
        <f t="shared" si="22"/>
        <v>0.7400000000000001</v>
      </c>
      <c r="K132" s="151">
        <f t="shared" si="18"/>
        <v>0.7400000000000001</v>
      </c>
      <c r="L132" s="152" t="s">
        <v>435</v>
      </c>
      <c r="M132" s="131"/>
      <c r="N132" s="138">
        <v>115</v>
      </c>
      <c r="O132" s="153" t="s">
        <v>554</v>
      </c>
      <c r="P132" s="154" t="s">
        <v>151</v>
      </c>
      <c r="Q132" s="155">
        <f>0.015+0.01+0.015</f>
        <v>0.04</v>
      </c>
      <c r="R132" s="150">
        <f t="shared" si="23"/>
        <v>0.64</v>
      </c>
      <c r="S132" s="151">
        <v>1.34</v>
      </c>
      <c r="T132" s="147" t="s">
        <v>437</v>
      </c>
      <c r="U132" s="156">
        <f t="shared" si="26"/>
        <v>1.34</v>
      </c>
      <c r="V132" s="147">
        <v>0</v>
      </c>
      <c r="W132" s="151">
        <f t="shared" si="27"/>
        <v>1.34</v>
      </c>
      <c r="X132" s="151">
        <f t="shared" si="28"/>
        <v>0.7000000000000001</v>
      </c>
      <c r="Y132" s="151">
        <f t="shared" si="19"/>
        <v>0.7000000000000001</v>
      </c>
      <c r="Z132" s="152" t="s">
        <v>435</v>
      </c>
    </row>
    <row r="133" spans="1:26" s="24" customFormat="1" ht="15">
      <c r="A133" s="147">
        <v>116</v>
      </c>
      <c r="B133" s="148" t="s">
        <v>555</v>
      </c>
      <c r="C133" s="149" t="s">
        <v>156</v>
      </c>
      <c r="D133" s="150">
        <v>0.54</v>
      </c>
      <c r="E133" s="151">
        <v>0.71</v>
      </c>
      <c r="F133" s="147" t="s">
        <v>437</v>
      </c>
      <c r="G133" s="156">
        <f t="shared" si="24"/>
        <v>0.71</v>
      </c>
      <c r="H133" s="147">
        <v>0</v>
      </c>
      <c r="I133" s="151">
        <f t="shared" si="25"/>
        <v>0.71</v>
      </c>
      <c r="J133" s="151">
        <f t="shared" si="22"/>
        <v>0.16999999999999993</v>
      </c>
      <c r="K133" s="151">
        <f t="shared" si="18"/>
        <v>0.16999999999999993</v>
      </c>
      <c r="L133" s="152" t="s">
        <v>435</v>
      </c>
      <c r="M133" s="131"/>
      <c r="N133" s="138">
        <v>116</v>
      </c>
      <c r="O133" s="153" t="s">
        <v>555</v>
      </c>
      <c r="P133" s="154" t="s">
        <v>156</v>
      </c>
      <c r="Q133" s="155">
        <v>0.009</v>
      </c>
      <c r="R133" s="150">
        <f t="shared" si="23"/>
        <v>0.549</v>
      </c>
      <c r="S133" s="151">
        <v>0.71</v>
      </c>
      <c r="T133" s="147" t="s">
        <v>437</v>
      </c>
      <c r="U133" s="156">
        <f t="shared" si="26"/>
        <v>0.71</v>
      </c>
      <c r="V133" s="147">
        <v>0</v>
      </c>
      <c r="W133" s="151">
        <f t="shared" si="27"/>
        <v>0.71</v>
      </c>
      <c r="X133" s="151">
        <f t="shared" si="28"/>
        <v>0.16099999999999992</v>
      </c>
      <c r="Y133" s="151">
        <f t="shared" si="19"/>
        <v>0.16099999999999992</v>
      </c>
      <c r="Z133" s="152" t="s">
        <v>435</v>
      </c>
    </row>
    <row r="134" spans="1:26" s="24" customFormat="1" ht="15">
      <c r="A134" s="147">
        <v>117</v>
      </c>
      <c r="B134" s="148" t="s">
        <v>556</v>
      </c>
      <c r="C134" s="149" t="s">
        <v>151</v>
      </c>
      <c r="D134" s="150">
        <v>0.8</v>
      </c>
      <c r="E134" s="151">
        <v>1.15</v>
      </c>
      <c r="F134" s="147" t="s">
        <v>437</v>
      </c>
      <c r="G134" s="156">
        <f t="shared" si="24"/>
        <v>1.15</v>
      </c>
      <c r="H134" s="147">
        <v>0</v>
      </c>
      <c r="I134" s="151">
        <f t="shared" si="25"/>
        <v>1.15</v>
      </c>
      <c r="J134" s="151">
        <f t="shared" si="22"/>
        <v>0.34999999999999987</v>
      </c>
      <c r="K134" s="151">
        <f t="shared" si="18"/>
        <v>0.34999999999999987</v>
      </c>
      <c r="L134" s="152" t="s">
        <v>435</v>
      </c>
      <c r="M134" s="131"/>
      <c r="N134" s="138">
        <v>117</v>
      </c>
      <c r="O134" s="153" t="s">
        <v>556</v>
      </c>
      <c r="P134" s="154" t="s">
        <v>151</v>
      </c>
      <c r="Q134" s="155">
        <f>0.025+0.008391+0.000046</f>
        <v>0.033437</v>
      </c>
      <c r="R134" s="150">
        <f t="shared" si="23"/>
        <v>0.8334370000000001</v>
      </c>
      <c r="S134" s="151">
        <v>1.15</v>
      </c>
      <c r="T134" s="147" t="s">
        <v>437</v>
      </c>
      <c r="U134" s="156">
        <f t="shared" si="26"/>
        <v>1.15</v>
      </c>
      <c r="V134" s="147">
        <v>0</v>
      </c>
      <c r="W134" s="151">
        <f t="shared" si="27"/>
        <v>1.15</v>
      </c>
      <c r="X134" s="151">
        <f t="shared" si="28"/>
        <v>0.3165629999999998</v>
      </c>
      <c r="Y134" s="151">
        <f t="shared" si="19"/>
        <v>0.3165629999999998</v>
      </c>
      <c r="Z134" s="152" t="s">
        <v>435</v>
      </c>
    </row>
    <row r="135" spans="1:26" s="24" customFormat="1" ht="15">
      <c r="A135" s="147">
        <v>118</v>
      </c>
      <c r="B135" s="148" t="s">
        <v>557</v>
      </c>
      <c r="C135" s="149" t="s">
        <v>151</v>
      </c>
      <c r="D135" s="150">
        <v>0.36</v>
      </c>
      <c r="E135" s="151">
        <v>1.43</v>
      </c>
      <c r="F135" s="147" t="s">
        <v>437</v>
      </c>
      <c r="G135" s="156">
        <f t="shared" si="24"/>
        <v>1.43</v>
      </c>
      <c r="H135" s="147">
        <v>0</v>
      </c>
      <c r="I135" s="151">
        <f t="shared" si="25"/>
        <v>1.43</v>
      </c>
      <c r="J135" s="151">
        <f t="shared" si="22"/>
        <v>1.0699999999999998</v>
      </c>
      <c r="K135" s="151">
        <f t="shared" si="18"/>
        <v>1.0699999999999998</v>
      </c>
      <c r="L135" s="152" t="s">
        <v>435</v>
      </c>
      <c r="M135" s="131"/>
      <c r="N135" s="138">
        <v>118</v>
      </c>
      <c r="O135" s="153" t="s">
        <v>557</v>
      </c>
      <c r="P135" s="154" t="s">
        <v>151</v>
      </c>
      <c r="Q135" s="155">
        <f>0.038+0.004</f>
        <v>0.041999999999999996</v>
      </c>
      <c r="R135" s="150">
        <f t="shared" si="23"/>
        <v>0.40199999999999997</v>
      </c>
      <c r="S135" s="151">
        <v>1.43</v>
      </c>
      <c r="T135" s="147" t="s">
        <v>437</v>
      </c>
      <c r="U135" s="156">
        <f t="shared" si="26"/>
        <v>1.43</v>
      </c>
      <c r="V135" s="147">
        <v>0</v>
      </c>
      <c r="W135" s="151">
        <f t="shared" si="27"/>
        <v>1.43</v>
      </c>
      <c r="X135" s="151">
        <f t="shared" si="28"/>
        <v>1.028</v>
      </c>
      <c r="Y135" s="151">
        <f t="shared" si="19"/>
        <v>1.028</v>
      </c>
      <c r="Z135" s="152" t="s">
        <v>435</v>
      </c>
    </row>
    <row r="136" spans="1:26" s="24" customFormat="1" ht="15">
      <c r="A136" s="147">
        <v>119</v>
      </c>
      <c r="B136" s="148" t="s">
        <v>558</v>
      </c>
      <c r="C136" s="149" t="s">
        <v>151</v>
      </c>
      <c r="D136" s="173">
        <v>0.07</v>
      </c>
      <c r="E136" s="151">
        <v>0.7</v>
      </c>
      <c r="F136" s="147" t="s">
        <v>437</v>
      </c>
      <c r="G136" s="156">
        <f t="shared" si="24"/>
        <v>0.7</v>
      </c>
      <c r="H136" s="147">
        <v>0</v>
      </c>
      <c r="I136" s="151">
        <f t="shared" si="25"/>
        <v>0.7</v>
      </c>
      <c r="J136" s="151">
        <f t="shared" si="22"/>
        <v>0.6299999999999999</v>
      </c>
      <c r="K136" s="151">
        <f t="shared" si="18"/>
        <v>0.6299999999999999</v>
      </c>
      <c r="L136" s="152" t="s">
        <v>435</v>
      </c>
      <c r="M136" s="131"/>
      <c r="N136" s="138">
        <v>119</v>
      </c>
      <c r="O136" s="153" t="s">
        <v>558</v>
      </c>
      <c r="P136" s="154" t="s">
        <v>151</v>
      </c>
      <c r="Q136" s="155">
        <f>0.008+0.008</f>
        <v>0.016</v>
      </c>
      <c r="R136" s="150">
        <f t="shared" si="23"/>
        <v>0.08600000000000001</v>
      </c>
      <c r="S136" s="151">
        <v>0.7</v>
      </c>
      <c r="T136" s="147" t="s">
        <v>437</v>
      </c>
      <c r="U136" s="156">
        <f t="shared" si="26"/>
        <v>0.7</v>
      </c>
      <c r="V136" s="147">
        <v>0</v>
      </c>
      <c r="W136" s="151">
        <f t="shared" si="27"/>
        <v>0.7</v>
      </c>
      <c r="X136" s="151">
        <f t="shared" si="28"/>
        <v>0.614</v>
      </c>
      <c r="Y136" s="151">
        <f t="shared" si="19"/>
        <v>0.614</v>
      </c>
      <c r="Z136" s="152" t="s">
        <v>435</v>
      </c>
    </row>
    <row r="137" spans="1:26" s="24" customFormat="1" ht="15">
      <c r="A137" s="147">
        <v>120</v>
      </c>
      <c r="B137" s="148" t="s">
        <v>559</v>
      </c>
      <c r="C137" s="149" t="s">
        <v>156</v>
      </c>
      <c r="D137" s="150">
        <v>0.18</v>
      </c>
      <c r="E137" s="151">
        <v>1.72</v>
      </c>
      <c r="F137" s="147" t="s">
        <v>437</v>
      </c>
      <c r="G137" s="156">
        <f t="shared" si="24"/>
        <v>1.72</v>
      </c>
      <c r="H137" s="147">
        <v>0</v>
      </c>
      <c r="I137" s="151">
        <f t="shared" si="25"/>
        <v>1.72</v>
      </c>
      <c r="J137" s="151">
        <f t="shared" si="22"/>
        <v>1.54</v>
      </c>
      <c r="K137" s="151">
        <f t="shared" si="18"/>
        <v>1.54</v>
      </c>
      <c r="L137" s="152" t="s">
        <v>435</v>
      </c>
      <c r="M137" s="131"/>
      <c r="N137" s="138">
        <v>120</v>
      </c>
      <c r="O137" s="153" t="s">
        <v>559</v>
      </c>
      <c r="P137" s="154" t="s">
        <v>156</v>
      </c>
      <c r="Q137" s="155">
        <f>0.025+0.015+0.004+0.004</f>
        <v>0.048</v>
      </c>
      <c r="R137" s="150">
        <f t="shared" si="23"/>
        <v>0.22799999999999998</v>
      </c>
      <c r="S137" s="151">
        <v>1.72</v>
      </c>
      <c r="T137" s="147" t="s">
        <v>437</v>
      </c>
      <c r="U137" s="156">
        <f t="shared" si="26"/>
        <v>1.72</v>
      </c>
      <c r="V137" s="147">
        <v>0</v>
      </c>
      <c r="W137" s="151">
        <f t="shared" si="27"/>
        <v>1.72</v>
      </c>
      <c r="X137" s="151">
        <f t="shared" si="28"/>
        <v>1.492</v>
      </c>
      <c r="Y137" s="151">
        <f t="shared" si="19"/>
        <v>1.492</v>
      </c>
      <c r="Z137" s="152" t="s">
        <v>435</v>
      </c>
    </row>
    <row r="138" spans="1:26" s="24" customFormat="1" ht="15">
      <c r="A138" s="147">
        <v>121</v>
      </c>
      <c r="B138" s="148" t="s">
        <v>560</v>
      </c>
      <c r="C138" s="149" t="s">
        <v>151</v>
      </c>
      <c r="D138" s="150">
        <v>0.34</v>
      </c>
      <c r="E138" s="151">
        <v>1.1</v>
      </c>
      <c r="F138" s="147" t="s">
        <v>437</v>
      </c>
      <c r="G138" s="156">
        <f t="shared" si="24"/>
        <v>1.1</v>
      </c>
      <c r="H138" s="147">
        <v>0</v>
      </c>
      <c r="I138" s="151">
        <f t="shared" si="25"/>
        <v>1.1</v>
      </c>
      <c r="J138" s="151">
        <f t="shared" si="22"/>
        <v>0.76</v>
      </c>
      <c r="K138" s="151">
        <f t="shared" si="18"/>
        <v>0.76</v>
      </c>
      <c r="L138" s="152" t="s">
        <v>435</v>
      </c>
      <c r="M138" s="131"/>
      <c r="N138" s="138">
        <v>121</v>
      </c>
      <c r="O138" s="153" t="s">
        <v>560</v>
      </c>
      <c r="P138" s="154" t="s">
        <v>151</v>
      </c>
      <c r="Q138" s="155">
        <v>0.017</v>
      </c>
      <c r="R138" s="150">
        <f t="shared" si="23"/>
        <v>0.35700000000000004</v>
      </c>
      <c r="S138" s="151">
        <v>1.1</v>
      </c>
      <c r="T138" s="147" t="s">
        <v>437</v>
      </c>
      <c r="U138" s="156">
        <f t="shared" si="26"/>
        <v>1.1</v>
      </c>
      <c r="V138" s="147">
        <v>0</v>
      </c>
      <c r="W138" s="151">
        <f t="shared" si="27"/>
        <v>1.1</v>
      </c>
      <c r="X138" s="151">
        <f t="shared" si="28"/>
        <v>0.7430000000000001</v>
      </c>
      <c r="Y138" s="151">
        <f t="shared" si="19"/>
        <v>0.7430000000000001</v>
      </c>
      <c r="Z138" s="152" t="s">
        <v>435</v>
      </c>
    </row>
    <row r="139" spans="1:26" s="24" customFormat="1" ht="15">
      <c r="A139" s="147">
        <v>122</v>
      </c>
      <c r="B139" s="148" t="s">
        <v>561</v>
      </c>
      <c r="C139" s="149" t="s">
        <v>156</v>
      </c>
      <c r="D139" s="173">
        <v>0.07</v>
      </c>
      <c r="E139" s="151">
        <v>0.85</v>
      </c>
      <c r="F139" s="147" t="s">
        <v>437</v>
      </c>
      <c r="G139" s="156">
        <f t="shared" si="24"/>
        <v>0.85</v>
      </c>
      <c r="H139" s="147">
        <v>0</v>
      </c>
      <c r="I139" s="151">
        <f t="shared" si="25"/>
        <v>0.85</v>
      </c>
      <c r="J139" s="151">
        <f t="shared" si="22"/>
        <v>0.78</v>
      </c>
      <c r="K139" s="151">
        <f t="shared" si="18"/>
        <v>0.78</v>
      </c>
      <c r="L139" s="152" t="s">
        <v>435</v>
      </c>
      <c r="M139" s="131"/>
      <c r="N139" s="138">
        <v>122</v>
      </c>
      <c r="O139" s="153" t="s">
        <v>561</v>
      </c>
      <c r="P139" s="154" t="s">
        <v>156</v>
      </c>
      <c r="Q139" s="155"/>
      <c r="R139" s="150">
        <f t="shared" si="23"/>
        <v>0.07</v>
      </c>
      <c r="S139" s="151">
        <v>0.85</v>
      </c>
      <c r="T139" s="147" t="s">
        <v>437</v>
      </c>
      <c r="U139" s="156">
        <f t="shared" si="26"/>
        <v>0.85</v>
      </c>
      <c r="V139" s="147">
        <v>0</v>
      </c>
      <c r="W139" s="151">
        <f t="shared" si="27"/>
        <v>0.85</v>
      </c>
      <c r="X139" s="151">
        <f t="shared" si="28"/>
        <v>0.78</v>
      </c>
      <c r="Y139" s="151">
        <f t="shared" si="19"/>
        <v>0.78</v>
      </c>
      <c r="Z139" s="152" t="s">
        <v>435</v>
      </c>
    </row>
    <row r="140" spans="1:26" s="24" customFormat="1" ht="15">
      <c r="A140" s="147">
        <v>123</v>
      </c>
      <c r="B140" s="148" t="s">
        <v>562</v>
      </c>
      <c r="C140" s="149" t="s">
        <v>156</v>
      </c>
      <c r="D140" s="150">
        <v>0.36</v>
      </c>
      <c r="E140" s="151">
        <v>1.43</v>
      </c>
      <c r="F140" s="147" t="s">
        <v>437</v>
      </c>
      <c r="G140" s="156">
        <f t="shared" si="24"/>
        <v>1.43</v>
      </c>
      <c r="H140" s="147">
        <v>0</v>
      </c>
      <c r="I140" s="151">
        <f t="shared" si="25"/>
        <v>1.43</v>
      </c>
      <c r="J140" s="151">
        <f t="shared" si="22"/>
        <v>1.0699999999999998</v>
      </c>
      <c r="K140" s="151">
        <f t="shared" si="18"/>
        <v>1.0699999999999998</v>
      </c>
      <c r="L140" s="152" t="s">
        <v>435</v>
      </c>
      <c r="M140" s="131"/>
      <c r="N140" s="138">
        <v>123</v>
      </c>
      <c r="O140" s="153" t="s">
        <v>562</v>
      </c>
      <c r="P140" s="154" t="s">
        <v>156</v>
      </c>
      <c r="Q140" s="155">
        <v>0.033</v>
      </c>
      <c r="R140" s="150">
        <f t="shared" si="23"/>
        <v>0.393</v>
      </c>
      <c r="S140" s="151">
        <v>1.43</v>
      </c>
      <c r="T140" s="147" t="s">
        <v>437</v>
      </c>
      <c r="U140" s="156">
        <f t="shared" si="26"/>
        <v>1.43</v>
      </c>
      <c r="V140" s="147">
        <v>0</v>
      </c>
      <c r="W140" s="151">
        <f t="shared" si="27"/>
        <v>1.43</v>
      </c>
      <c r="X140" s="151">
        <f t="shared" si="28"/>
        <v>1.037</v>
      </c>
      <c r="Y140" s="151">
        <f t="shared" si="19"/>
        <v>1.037</v>
      </c>
      <c r="Z140" s="152" t="s">
        <v>435</v>
      </c>
    </row>
    <row r="141" spans="1:26" s="24" customFormat="1" ht="15">
      <c r="A141" s="147">
        <v>124</v>
      </c>
      <c r="B141" s="148" t="s">
        <v>563</v>
      </c>
      <c r="C141" s="149" t="s">
        <v>151</v>
      </c>
      <c r="D141" s="150">
        <v>0.16</v>
      </c>
      <c r="E141" s="151">
        <v>1.43</v>
      </c>
      <c r="F141" s="147" t="s">
        <v>437</v>
      </c>
      <c r="G141" s="156">
        <f t="shared" si="24"/>
        <v>1.43</v>
      </c>
      <c r="H141" s="147">
        <v>0</v>
      </c>
      <c r="I141" s="151">
        <f t="shared" si="25"/>
        <v>1.43</v>
      </c>
      <c r="J141" s="151">
        <f t="shared" si="22"/>
        <v>1.27</v>
      </c>
      <c r="K141" s="151">
        <f t="shared" si="18"/>
        <v>1.27</v>
      </c>
      <c r="L141" s="152" t="s">
        <v>435</v>
      </c>
      <c r="M141" s="131"/>
      <c r="N141" s="138">
        <v>124</v>
      </c>
      <c r="O141" s="153" t="s">
        <v>563</v>
      </c>
      <c r="P141" s="154" t="s">
        <v>151</v>
      </c>
      <c r="Q141" s="155">
        <f>0.019+0.00132</f>
        <v>0.020319999999999998</v>
      </c>
      <c r="R141" s="150">
        <f t="shared" si="23"/>
        <v>0.18032</v>
      </c>
      <c r="S141" s="151">
        <v>1.43</v>
      </c>
      <c r="T141" s="147" t="s">
        <v>437</v>
      </c>
      <c r="U141" s="156">
        <f t="shared" si="26"/>
        <v>1.43</v>
      </c>
      <c r="V141" s="147">
        <v>0</v>
      </c>
      <c r="W141" s="151">
        <f t="shared" si="27"/>
        <v>1.43</v>
      </c>
      <c r="X141" s="151">
        <f t="shared" si="28"/>
        <v>1.24968</v>
      </c>
      <c r="Y141" s="151">
        <f t="shared" si="19"/>
        <v>1.24968</v>
      </c>
      <c r="Z141" s="152" t="s">
        <v>435</v>
      </c>
    </row>
    <row r="142" spans="1:26" s="24" customFormat="1" ht="15">
      <c r="A142" s="147">
        <v>125</v>
      </c>
      <c r="B142" s="148" t="s">
        <v>564</v>
      </c>
      <c r="C142" s="149" t="s">
        <v>151</v>
      </c>
      <c r="D142" s="150">
        <v>0.58</v>
      </c>
      <c r="E142" s="151">
        <v>1.47</v>
      </c>
      <c r="F142" s="147" t="s">
        <v>437</v>
      </c>
      <c r="G142" s="156">
        <f t="shared" si="24"/>
        <v>1.47</v>
      </c>
      <c r="H142" s="147">
        <v>0</v>
      </c>
      <c r="I142" s="151">
        <f t="shared" si="25"/>
        <v>1.47</v>
      </c>
      <c r="J142" s="151">
        <f t="shared" si="22"/>
        <v>0.89</v>
      </c>
      <c r="K142" s="151">
        <f t="shared" si="18"/>
        <v>0.89</v>
      </c>
      <c r="L142" s="152" t="s">
        <v>435</v>
      </c>
      <c r="M142" s="131"/>
      <c r="N142" s="138">
        <v>125</v>
      </c>
      <c r="O142" s="153" t="s">
        <v>564</v>
      </c>
      <c r="P142" s="154" t="s">
        <v>151</v>
      </c>
      <c r="Q142" s="155">
        <f>0.023+0.008+0.014</f>
        <v>0.045</v>
      </c>
      <c r="R142" s="150">
        <f t="shared" si="23"/>
        <v>0.625</v>
      </c>
      <c r="S142" s="151">
        <v>1.47</v>
      </c>
      <c r="T142" s="147" t="s">
        <v>437</v>
      </c>
      <c r="U142" s="156">
        <f t="shared" si="26"/>
        <v>1.47</v>
      </c>
      <c r="V142" s="147">
        <v>0</v>
      </c>
      <c r="W142" s="151">
        <f t="shared" si="27"/>
        <v>1.47</v>
      </c>
      <c r="X142" s="151">
        <f t="shared" si="28"/>
        <v>0.845</v>
      </c>
      <c r="Y142" s="151">
        <f t="shared" si="19"/>
        <v>0.845</v>
      </c>
      <c r="Z142" s="152" t="s">
        <v>435</v>
      </c>
    </row>
    <row r="143" spans="1:26" s="24" customFormat="1" ht="15">
      <c r="A143" s="147">
        <v>126</v>
      </c>
      <c r="B143" s="148" t="s">
        <v>565</v>
      </c>
      <c r="C143" s="149" t="s">
        <v>151</v>
      </c>
      <c r="D143" s="168">
        <v>0.18</v>
      </c>
      <c r="E143" s="151">
        <v>0.85</v>
      </c>
      <c r="F143" s="147" t="s">
        <v>437</v>
      </c>
      <c r="G143" s="156">
        <f t="shared" si="24"/>
        <v>0.85</v>
      </c>
      <c r="H143" s="147">
        <v>0</v>
      </c>
      <c r="I143" s="151">
        <f t="shared" si="25"/>
        <v>0.85</v>
      </c>
      <c r="J143" s="151">
        <f t="shared" si="22"/>
        <v>0.6699999999999999</v>
      </c>
      <c r="K143" s="151">
        <f t="shared" si="18"/>
        <v>0.6699999999999999</v>
      </c>
      <c r="L143" s="152" t="s">
        <v>435</v>
      </c>
      <c r="M143" s="131"/>
      <c r="N143" s="138">
        <v>126</v>
      </c>
      <c r="O143" s="153" t="s">
        <v>565</v>
      </c>
      <c r="P143" s="154" t="s">
        <v>151</v>
      </c>
      <c r="Q143" s="155"/>
      <c r="R143" s="150">
        <f t="shared" si="23"/>
        <v>0.18</v>
      </c>
      <c r="S143" s="151">
        <v>0.85</v>
      </c>
      <c r="T143" s="147" t="s">
        <v>437</v>
      </c>
      <c r="U143" s="156">
        <f t="shared" si="26"/>
        <v>0.85</v>
      </c>
      <c r="V143" s="147">
        <v>0</v>
      </c>
      <c r="W143" s="151">
        <f t="shared" si="27"/>
        <v>0.85</v>
      </c>
      <c r="X143" s="151">
        <f t="shared" si="28"/>
        <v>0.6699999999999999</v>
      </c>
      <c r="Y143" s="151">
        <f t="shared" si="19"/>
        <v>0.6699999999999999</v>
      </c>
      <c r="Z143" s="152" t="s">
        <v>435</v>
      </c>
    </row>
    <row r="144" spans="1:26" s="24" customFormat="1" ht="15">
      <c r="A144" s="147">
        <v>127</v>
      </c>
      <c r="B144" s="148" t="s">
        <v>566</v>
      </c>
      <c r="C144" s="149" t="s">
        <v>350</v>
      </c>
      <c r="D144" s="150">
        <v>0.21</v>
      </c>
      <c r="E144" s="151">
        <v>0.6</v>
      </c>
      <c r="F144" s="147" t="s">
        <v>437</v>
      </c>
      <c r="G144" s="156">
        <f t="shared" si="24"/>
        <v>0.6</v>
      </c>
      <c r="H144" s="147">
        <v>0</v>
      </c>
      <c r="I144" s="151">
        <f t="shared" si="25"/>
        <v>0.6</v>
      </c>
      <c r="J144" s="151">
        <f t="shared" si="22"/>
        <v>0.39</v>
      </c>
      <c r="K144" s="151">
        <f t="shared" si="18"/>
        <v>0.39</v>
      </c>
      <c r="L144" s="152" t="s">
        <v>435</v>
      </c>
      <c r="M144" s="131"/>
      <c r="N144" s="138">
        <v>127</v>
      </c>
      <c r="O144" s="153" t="s">
        <v>566</v>
      </c>
      <c r="P144" s="154" t="s">
        <v>350</v>
      </c>
      <c r="Q144" s="155">
        <f>0.02+0.01</f>
        <v>0.03</v>
      </c>
      <c r="R144" s="150">
        <f t="shared" si="23"/>
        <v>0.24</v>
      </c>
      <c r="S144" s="151">
        <v>0.6</v>
      </c>
      <c r="T144" s="147" t="s">
        <v>437</v>
      </c>
      <c r="U144" s="156">
        <f t="shared" si="26"/>
        <v>0.6</v>
      </c>
      <c r="V144" s="147">
        <v>0</v>
      </c>
      <c r="W144" s="151">
        <f t="shared" si="27"/>
        <v>0.6</v>
      </c>
      <c r="X144" s="151">
        <f t="shared" si="28"/>
        <v>0.36</v>
      </c>
      <c r="Y144" s="151">
        <f t="shared" si="19"/>
        <v>0.36</v>
      </c>
      <c r="Z144" s="152" t="s">
        <v>435</v>
      </c>
    </row>
    <row r="145" spans="1:26" s="24" customFormat="1" ht="15">
      <c r="A145" s="147">
        <v>128</v>
      </c>
      <c r="B145" s="148" t="s">
        <v>567</v>
      </c>
      <c r="C145" s="149" t="s">
        <v>156</v>
      </c>
      <c r="D145" s="150">
        <v>0.24</v>
      </c>
      <c r="E145" s="151">
        <v>0.64</v>
      </c>
      <c r="F145" s="147" t="s">
        <v>437</v>
      </c>
      <c r="G145" s="156">
        <f t="shared" si="24"/>
        <v>0.64</v>
      </c>
      <c r="H145" s="147">
        <v>0</v>
      </c>
      <c r="I145" s="151">
        <f t="shared" si="25"/>
        <v>0.64</v>
      </c>
      <c r="J145" s="151">
        <f t="shared" si="22"/>
        <v>0.4</v>
      </c>
      <c r="K145" s="151">
        <f t="shared" si="18"/>
        <v>0.4</v>
      </c>
      <c r="L145" s="152" t="s">
        <v>435</v>
      </c>
      <c r="M145" s="131"/>
      <c r="N145" s="138">
        <v>128</v>
      </c>
      <c r="O145" s="153" t="s">
        <v>567</v>
      </c>
      <c r="P145" s="154" t="s">
        <v>156</v>
      </c>
      <c r="Q145" s="155">
        <f>0.009+0.009</f>
        <v>0.018</v>
      </c>
      <c r="R145" s="150">
        <f t="shared" si="23"/>
        <v>0.258</v>
      </c>
      <c r="S145" s="151">
        <v>0.64</v>
      </c>
      <c r="T145" s="147" t="s">
        <v>437</v>
      </c>
      <c r="U145" s="156">
        <f t="shared" si="26"/>
        <v>0.64</v>
      </c>
      <c r="V145" s="147">
        <v>0</v>
      </c>
      <c r="W145" s="151">
        <f t="shared" si="27"/>
        <v>0.64</v>
      </c>
      <c r="X145" s="151">
        <f t="shared" si="28"/>
        <v>0.382</v>
      </c>
      <c r="Y145" s="151">
        <f t="shared" si="19"/>
        <v>0.382</v>
      </c>
      <c r="Z145" s="152" t="s">
        <v>435</v>
      </c>
    </row>
    <row r="146" spans="1:26" s="91" customFormat="1" ht="15">
      <c r="A146" s="147">
        <v>129</v>
      </c>
      <c r="B146" s="158" t="s">
        <v>568</v>
      </c>
      <c r="C146" s="149" t="s">
        <v>151</v>
      </c>
      <c r="D146" s="150">
        <v>0.48</v>
      </c>
      <c r="E146" s="150">
        <v>2.15</v>
      </c>
      <c r="F146" s="157" t="s">
        <v>437</v>
      </c>
      <c r="G146" s="159">
        <f t="shared" si="24"/>
        <v>2.15</v>
      </c>
      <c r="H146" s="157">
        <v>0</v>
      </c>
      <c r="I146" s="150">
        <f t="shared" si="25"/>
        <v>2.15</v>
      </c>
      <c r="J146" s="150">
        <f t="shared" si="22"/>
        <v>1.67</v>
      </c>
      <c r="K146" s="150">
        <f t="shared" si="18"/>
        <v>1.67</v>
      </c>
      <c r="L146" s="152" t="s">
        <v>435</v>
      </c>
      <c r="M146" s="169"/>
      <c r="N146" s="138">
        <v>129</v>
      </c>
      <c r="O146" s="162" t="s">
        <v>568</v>
      </c>
      <c r="P146" s="163" t="s">
        <v>151</v>
      </c>
      <c r="Q146" s="164">
        <f>3.49+0.013+0.03+0.007+0.022</f>
        <v>3.562</v>
      </c>
      <c r="R146" s="165">
        <f t="shared" si="23"/>
        <v>4.042</v>
      </c>
      <c r="S146" s="165">
        <v>2.15</v>
      </c>
      <c r="T146" s="180" t="s">
        <v>437</v>
      </c>
      <c r="U146" s="167">
        <f t="shared" si="26"/>
        <v>2.15</v>
      </c>
      <c r="V146" s="166">
        <v>0</v>
      </c>
      <c r="W146" s="165">
        <f t="shared" si="27"/>
        <v>2.15</v>
      </c>
      <c r="X146" s="165">
        <f t="shared" si="28"/>
        <v>-1.892</v>
      </c>
      <c r="Y146" s="165">
        <f t="shared" si="19"/>
        <v>-1.892</v>
      </c>
      <c r="Z146" s="179" t="s">
        <v>436</v>
      </c>
    </row>
    <row r="147" spans="1:26" ht="15" customHeight="1">
      <c r="A147" s="233" t="s">
        <v>569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145"/>
      <c r="M147" s="176"/>
      <c r="N147" s="233" t="s">
        <v>569</v>
      </c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</row>
    <row r="148" spans="1:26" s="27" customFormat="1" ht="15">
      <c r="A148" s="147">
        <v>1</v>
      </c>
      <c r="B148" s="148" t="s">
        <v>570</v>
      </c>
      <c r="C148" s="149" t="s">
        <v>308</v>
      </c>
      <c r="D148" s="150">
        <v>7.88</v>
      </c>
      <c r="E148" s="151">
        <v>0</v>
      </c>
      <c r="F148" s="147">
        <v>0</v>
      </c>
      <c r="G148" s="151">
        <f aca="true" t="shared" si="29" ref="G148:G214">D148-E148</f>
        <v>7.88</v>
      </c>
      <c r="H148" s="147">
        <v>0</v>
      </c>
      <c r="I148" s="151">
        <f>1.05*25</f>
        <v>26.25</v>
      </c>
      <c r="J148" s="151">
        <f>I148-H148-G148</f>
        <v>18.37</v>
      </c>
      <c r="K148" s="151">
        <f>J148</f>
        <v>18.37</v>
      </c>
      <c r="L148" s="172" t="s">
        <v>435</v>
      </c>
      <c r="M148" s="131"/>
      <c r="N148" s="138">
        <v>1</v>
      </c>
      <c r="O148" s="153" t="s">
        <v>570</v>
      </c>
      <c r="P148" s="154" t="s">
        <v>308</v>
      </c>
      <c r="Q148" s="155"/>
      <c r="R148" s="150">
        <f aca="true" t="shared" si="30" ref="R148:R182">Q148+D148</f>
        <v>7.88</v>
      </c>
      <c r="S148" s="151">
        <v>0</v>
      </c>
      <c r="T148" s="147">
        <v>0</v>
      </c>
      <c r="U148" s="151">
        <f>R148-S148</f>
        <v>7.88</v>
      </c>
      <c r="V148" s="147">
        <v>0</v>
      </c>
      <c r="W148" s="151">
        <f>1.05*25</f>
        <v>26.25</v>
      </c>
      <c r="X148" s="151">
        <f>W148-V148-U148</f>
        <v>18.37</v>
      </c>
      <c r="Y148" s="151">
        <f>X148</f>
        <v>18.37</v>
      </c>
      <c r="Z148" s="172" t="s">
        <v>435</v>
      </c>
    </row>
    <row r="149" spans="1:26" s="24" customFormat="1" ht="15">
      <c r="A149" s="147">
        <v>2</v>
      </c>
      <c r="B149" s="148" t="s">
        <v>571</v>
      </c>
      <c r="C149" s="149" t="s">
        <v>309</v>
      </c>
      <c r="D149" s="150">
        <v>1.78</v>
      </c>
      <c r="E149" s="151">
        <v>0.9</v>
      </c>
      <c r="F149" s="147">
        <v>45</v>
      </c>
      <c r="G149" s="151">
        <f t="shared" si="29"/>
        <v>0.88</v>
      </c>
      <c r="H149" s="147">
        <v>0</v>
      </c>
      <c r="I149" s="151">
        <f>1.05*6.3</f>
        <v>6.615</v>
      </c>
      <c r="J149" s="151">
        <f aca="true" t="shared" si="31" ref="J149:J215">I149-H149-G149</f>
        <v>5.735</v>
      </c>
      <c r="K149" s="151">
        <f>J149</f>
        <v>5.735</v>
      </c>
      <c r="L149" s="172" t="s">
        <v>435</v>
      </c>
      <c r="M149" s="131"/>
      <c r="N149" s="138">
        <v>2</v>
      </c>
      <c r="O149" s="153" t="s">
        <v>571</v>
      </c>
      <c r="P149" s="154" t="s">
        <v>309</v>
      </c>
      <c r="Q149" s="155">
        <f>0.015+0.007</f>
        <v>0.022</v>
      </c>
      <c r="R149" s="150">
        <f t="shared" si="30"/>
        <v>1.802</v>
      </c>
      <c r="S149" s="151">
        <v>0.9</v>
      </c>
      <c r="T149" s="147">
        <v>45</v>
      </c>
      <c r="U149" s="151">
        <f aca="true" t="shared" si="32" ref="U149:U215">R149-S149</f>
        <v>0.902</v>
      </c>
      <c r="V149" s="147">
        <v>0</v>
      </c>
      <c r="W149" s="151">
        <f>1.05*6.3</f>
        <v>6.615</v>
      </c>
      <c r="X149" s="151">
        <f aca="true" t="shared" si="33" ref="X149:X215">W149-V149-U149</f>
        <v>5.713</v>
      </c>
      <c r="Y149" s="151">
        <f>X149</f>
        <v>5.713</v>
      </c>
      <c r="Z149" s="172" t="s">
        <v>435</v>
      </c>
    </row>
    <row r="150" spans="1:26" s="24" customFormat="1" ht="36" customHeight="1">
      <c r="A150" s="221">
        <v>3</v>
      </c>
      <c r="B150" s="148" t="s">
        <v>572</v>
      </c>
      <c r="C150" s="149" t="s">
        <v>308</v>
      </c>
      <c r="D150" s="150">
        <f>D151+D152</f>
        <v>14.6</v>
      </c>
      <c r="E150" s="151">
        <v>20.2</v>
      </c>
      <c r="F150" s="147">
        <v>120</v>
      </c>
      <c r="G150" s="151">
        <f t="shared" si="29"/>
        <v>-5.6</v>
      </c>
      <c r="H150" s="147">
        <v>0</v>
      </c>
      <c r="I150" s="151">
        <f>1.05*25</f>
        <v>26.25</v>
      </c>
      <c r="J150" s="151">
        <f t="shared" si="31"/>
        <v>31.85</v>
      </c>
      <c r="K150" s="220">
        <f>MIN(J150:J152)</f>
        <v>25.009999999999998</v>
      </c>
      <c r="L150" s="218" t="s">
        <v>435</v>
      </c>
      <c r="M150" s="131"/>
      <c r="N150" s="219">
        <v>3</v>
      </c>
      <c r="O150" s="153" t="s">
        <v>572</v>
      </c>
      <c r="P150" s="154" t="s">
        <v>308</v>
      </c>
      <c r="Q150" s="155">
        <f>Q151+Q152</f>
        <v>1.0190000000000001</v>
      </c>
      <c r="R150" s="150">
        <f t="shared" si="30"/>
        <v>15.619</v>
      </c>
      <c r="S150" s="151">
        <v>20.2</v>
      </c>
      <c r="T150" s="147">
        <v>120</v>
      </c>
      <c r="U150" s="151">
        <f t="shared" si="32"/>
        <v>-4.5809999999999995</v>
      </c>
      <c r="V150" s="147">
        <v>0</v>
      </c>
      <c r="W150" s="151">
        <f>1.05*25</f>
        <v>26.25</v>
      </c>
      <c r="X150" s="151">
        <f t="shared" si="33"/>
        <v>30.831</v>
      </c>
      <c r="Y150" s="220">
        <f>MIN(X150:X152)</f>
        <v>24.576999999999998</v>
      </c>
      <c r="Z150" s="218" t="s">
        <v>435</v>
      </c>
    </row>
    <row r="151" spans="1:26" s="24" customFormat="1" ht="36" customHeight="1">
      <c r="A151" s="221"/>
      <c r="B151" s="148" t="s">
        <v>439</v>
      </c>
      <c r="C151" s="149">
        <v>25</v>
      </c>
      <c r="D151" s="150">
        <v>3.76</v>
      </c>
      <c r="E151" s="151">
        <v>10.6</v>
      </c>
      <c r="F151" s="147">
        <v>120</v>
      </c>
      <c r="G151" s="151">
        <f t="shared" si="29"/>
        <v>-6.84</v>
      </c>
      <c r="H151" s="147">
        <v>0</v>
      </c>
      <c r="I151" s="151">
        <v>26.25</v>
      </c>
      <c r="J151" s="151">
        <f t="shared" si="31"/>
        <v>33.09</v>
      </c>
      <c r="K151" s="220"/>
      <c r="L151" s="218"/>
      <c r="M151" s="131"/>
      <c r="N151" s="219"/>
      <c r="O151" s="153" t="s">
        <v>439</v>
      </c>
      <c r="P151" s="154">
        <v>25</v>
      </c>
      <c r="Q151" s="155">
        <f>Q341+Q381+Q385+Q387</f>
        <v>0.5860000000000001</v>
      </c>
      <c r="R151" s="150">
        <f t="shared" si="30"/>
        <v>4.346</v>
      </c>
      <c r="S151" s="151">
        <v>10.6</v>
      </c>
      <c r="T151" s="147">
        <v>120</v>
      </c>
      <c r="U151" s="151">
        <f t="shared" si="32"/>
        <v>-6.254</v>
      </c>
      <c r="V151" s="147">
        <v>0</v>
      </c>
      <c r="W151" s="151">
        <v>26.25</v>
      </c>
      <c r="X151" s="151">
        <f t="shared" si="33"/>
        <v>32.504</v>
      </c>
      <c r="Y151" s="220"/>
      <c r="Z151" s="218"/>
    </row>
    <row r="152" spans="1:26" s="24" customFormat="1" ht="36.75" customHeight="1">
      <c r="A152" s="221"/>
      <c r="B152" s="148" t="s">
        <v>573</v>
      </c>
      <c r="C152" s="149">
        <v>25</v>
      </c>
      <c r="D152" s="150">
        <v>10.84</v>
      </c>
      <c r="E152" s="151">
        <v>9.6</v>
      </c>
      <c r="F152" s="147">
        <v>120</v>
      </c>
      <c r="G152" s="151">
        <f t="shared" si="29"/>
        <v>1.2400000000000002</v>
      </c>
      <c r="H152" s="147">
        <v>0</v>
      </c>
      <c r="I152" s="151">
        <v>26.25</v>
      </c>
      <c r="J152" s="151">
        <f t="shared" si="31"/>
        <v>25.009999999999998</v>
      </c>
      <c r="K152" s="220"/>
      <c r="L152" s="218"/>
      <c r="M152" s="131"/>
      <c r="N152" s="219"/>
      <c r="O152" s="153" t="s">
        <v>573</v>
      </c>
      <c r="P152" s="154">
        <v>25</v>
      </c>
      <c r="Q152" s="155">
        <f>0.097+0.033+0.196+0.015+0.023+0.037+0.032</f>
        <v>0.43300000000000005</v>
      </c>
      <c r="R152" s="150">
        <f t="shared" si="30"/>
        <v>11.273</v>
      </c>
      <c r="S152" s="151">
        <v>9.6</v>
      </c>
      <c r="T152" s="147">
        <v>120</v>
      </c>
      <c r="U152" s="151">
        <f t="shared" si="32"/>
        <v>1.673</v>
      </c>
      <c r="V152" s="147">
        <v>0</v>
      </c>
      <c r="W152" s="151">
        <v>26.25</v>
      </c>
      <c r="X152" s="151">
        <f t="shared" si="33"/>
        <v>24.576999999999998</v>
      </c>
      <c r="Y152" s="220"/>
      <c r="Z152" s="218"/>
    </row>
    <row r="153" spans="1:26" s="24" customFormat="1" ht="15">
      <c r="A153" s="147">
        <v>4</v>
      </c>
      <c r="B153" s="148" t="s">
        <v>574</v>
      </c>
      <c r="C153" s="149" t="s">
        <v>310</v>
      </c>
      <c r="D153" s="168">
        <v>0.83</v>
      </c>
      <c r="E153" s="151">
        <v>0.6</v>
      </c>
      <c r="F153" s="147">
        <v>120</v>
      </c>
      <c r="G153" s="151">
        <f t="shared" si="29"/>
        <v>0.22999999999999998</v>
      </c>
      <c r="H153" s="147">
        <v>0</v>
      </c>
      <c r="I153" s="151">
        <f>1.05*6.3</f>
        <v>6.615</v>
      </c>
      <c r="J153" s="151">
        <f t="shared" si="31"/>
        <v>6.385</v>
      </c>
      <c r="K153" s="151">
        <f>J153</f>
        <v>6.385</v>
      </c>
      <c r="L153" s="152" t="s">
        <v>435</v>
      </c>
      <c r="M153" s="131"/>
      <c r="N153" s="138">
        <v>4</v>
      </c>
      <c r="O153" s="153" t="s">
        <v>574</v>
      </c>
      <c r="P153" s="154" t="s">
        <v>310</v>
      </c>
      <c r="Q153" s="155">
        <f>0.015+0.02+0.03+0.025</f>
        <v>0.09</v>
      </c>
      <c r="R153" s="150">
        <f t="shared" si="30"/>
        <v>0.9199999999999999</v>
      </c>
      <c r="S153" s="151">
        <v>0.6</v>
      </c>
      <c r="T153" s="147">
        <v>120</v>
      </c>
      <c r="U153" s="151">
        <f t="shared" si="32"/>
        <v>0.31999999999999995</v>
      </c>
      <c r="V153" s="147">
        <v>0</v>
      </c>
      <c r="W153" s="151">
        <f>1.05*6.3</f>
        <v>6.615</v>
      </c>
      <c r="X153" s="151">
        <f t="shared" si="33"/>
        <v>6.295</v>
      </c>
      <c r="Y153" s="151">
        <f>X153</f>
        <v>6.295</v>
      </c>
      <c r="Z153" s="152" t="s">
        <v>435</v>
      </c>
    </row>
    <row r="154" spans="1:26" s="24" customFormat="1" ht="36" customHeight="1">
      <c r="A154" s="221">
        <v>5</v>
      </c>
      <c r="B154" s="148" t="s">
        <v>575</v>
      </c>
      <c r="C154" s="149" t="s">
        <v>311</v>
      </c>
      <c r="D154" s="150">
        <f>D155+D156</f>
        <v>1.3199999999999998</v>
      </c>
      <c r="E154" s="151">
        <f>E155+E156</f>
        <v>6.19</v>
      </c>
      <c r="F154" s="147">
        <v>15</v>
      </c>
      <c r="G154" s="151">
        <f t="shared" si="29"/>
        <v>-4.870000000000001</v>
      </c>
      <c r="H154" s="147">
        <v>0</v>
      </c>
      <c r="I154" s="151">
        <f>5.6*1.05</f>
        <v>5.88</v>
      </c>
      <c r="J154" s="151">
        <f t="shared" si="31"/>
        <v>10.75</v>
      </c>
      <c r="K154" s="220">
        <f>MIN(J154:J156)</f>
        <v>5.34</v>
      </c>
      <c r="L154" s="218" t="s">
        <v>435</v>
      </c>
      <c r="M154" s="131"/>
      <c r="N154" s="219">
        <v>5</v>
      </c>
      <c r="O154" s="153" t="s">
        <v>575</v>
      </c>
      <c r="P154" s="154" t="s">
        <v>311</v>
      </c>
      <c r="Q154" s="155">
        <f>Q155+Q156</f>
        <v>0.623</v>
      </c>
      <c r="R154" s="150">
        <f t="shared" si="30"/>
        <v>1.9429999999999998</v>
      </c>
      <c r="S154" s="151">
        <v>6.19</v>
      </c>
      <c r="T154" s="147">
        <v>15</v>
      </c>
      <c r="U154" s="151">
        <f t="shared" si="32"/>
        <v>-4.247000000000001</v>
      </c>
      <c r="V154" s="147">
        <v>0</v>
      </c>
      <c r="W154" s="151">
        <f>5.6*1.05</f>
        <v>5.88</v>
      </c>
      <c r="X154" s="151">
        <f t="shared" si="33"/>
        <v>10.127</v>
      </c>
      <c r="Y154" s="220">
        <f>MIN(X154:X156)</f>
        <v>5.327999999999999</v>
      </c>
      <c r="Z154" s="218" t="s">
        <v>435</v>
      </c>
    </row>
    <row r="155" spans="1:26" s="24" customFormat="1" ht="36" customHeight="1">
      <c r="A155" s="221"/>
      <c r="B155" s="148" t="s">
        <v>439</v>
      </c>
      <c r="C155" s="149" t="s">
        <v>311</v>
      </c>
      <c r="D155" s="150">
        <v>0.59</v>
      </c>
      <c r="E155" s="151">
        <v>6</v>
      </c>
      <c r="F155" s="147"/>
      <c r="G155" s="151">
        <f t="shared" si="29"/>
        <v>-5.41</v>
      </c>
      <c r="H155" s="147">
        <v>0</v>
      </c>
      <c r="I155" s="151">
        <f>5.6*1.05</f>
        <v>5.88</v>
      </c>
      <c r="J155" s="151">
        <f t="shared" si="31"/>
        <v>11.29</v>
      </c>
      <c r="K155" s="220"/>
      <c r="L155" s="218"/>
      <c r="M155" s="131"/>
      <c r="N155" s="219"/>
      <c r="O155" s="153" t="s">
        <v>439</v>
      </c>
      <c r="P155" s="154" t="s">
        <v>311</v>
      </c>
      <c r="Q155" s="155">
        <f>Q73</f>
        <v>0.611</v>
      </c>
      <c r="R155" s="150">
        <f t="shared" si="30"/>
        <v>1.201</v>
      </c>
      <c r="S155" s="151">
        <v>6</v>
      </c>
      <c r="T155" s="147"/>
      <c r="U155" s="151">
        <f t="shared" si="32"/>
        <v>-4.7989999999999995</v>
      </c>
      <c r="V155" s="147">
        <v>0</v>
      </c>
      <c r="W155" s="151">
        <f>5.6*1.05</f>
        <v>5.88</v>
      </c>
      <c r="X155" s="151">
        <f t="shared" si="33"/>
        <v>10.678999999999998</v>
      </c>
      <c r="Y155" s="220"/>
      <c r="Z155" s="218"/>
    </row>
    <row r="156" spans="1:26" s="24" customFormat="1" ht="36.75" customHeight="1">
      <c r="A156" s="221"/>
      <c r="B156" s="148" t="s">
        <v>442</v>
      </c>
      <c r="C156" s="149" t="s">
        <v>311</v>
      </c>
      <c r="D156" s="150">
        <v>0.73</v>
      </c>
      <c r="E156" s="151">
        <v>0.19</v>
      </c>
      <c r="F156" s="147">
        <v>120</v>
      </c>
      <c r="G156" s="151">
        <f t="shared" si="29"/>
        <v>0.54</v>
      </c>
      <c r="H156" s="147">
        <v>0</v>
      </c>
      <c r="I156" s="151">
        <f>5.6*1.05</f>
        <v>5.88</v>
      </c>
      <c r="J156" s="151">
        <f t="shared" si="31"/>
        <v>5.34</v>
      </c>
      <c r="K156" s="220"/>
      <c r="L156" s="218"/>
      <c r="M156" s="131"/>
      <c r="N156" s="219"/>
      <c r="O156" s="153" t="s">
        <v>442</v>
      </c>
      <c r="P156" s="154" t="s">
        <v>311</v>
      </c>
      <c r="Q156" s="155">
        <v>0.012</v>
      </c>
      <c r="R156" s="150">
        <f t="shared" si="30"/>
        <v>0.742</v>
      </c>
      <c r="S156" s="151">
        <v>0.19</v>
      </c>
      <c r="T156" s="147">
        <v>120</v>
      </c>
      <c r="U156" s="151">
        <f t="shared" si="32"/>
        <v>0.552</v>
      </c>
      <c r="V156" s="147">
        <v>0</v>
      </c>
      <c r="W156" s="151">
        <f>5.6*1.05</f>
        <v>5.88</v>
      </c>
      <c r="X156" s="151">
        <f t="shared" si="33"/>
        <v>5.327999999999999</v>
      </c>
      <c r="Y156" s="220"/>
      <c r="Z156" s="218"/>
    </row>
    <row r="157" spans="1:26" s="24" customFormat="1" ht="36" customHeight="1">
      <c r="A157" s="221">
        <v>6</v>
      </c>
      <c r="B157" s="148" t="s">
        <v>576</v>
      </c>
      <c r="C157" s="149" t="s">
        <v>312</v>
      </c>
      <c r="D157" s="150">
        <f>D158+D159</f>
        <v>7.157</v>
      </c>
      <c r="E157" s="151">
        <v>12</v>
      </c>
      <c r="F157" s="147">
        <v>120</v>
      </c>
      <c r="G157" s="151">
        <f t="shared" si="29"/>
        <v>-4.843</v>
      </c>
      <c r="H157" s="147">
        <v>0</v>
      </c>
      <c r="I157" s="151">
        <f>1.05*16</f>
        <v>16.8</v>
      </c>
      <c r="J157" s="151">
        <f t="shared" si="31"/>
        <v>21.643</v>
      </c>
      <c r="K157" s="220">
        <f>MIN(J157:J159)</f>
        <v>13.600000000000001</v>
      </c>
      <c r="L157" s="218" t="s">
        <v>435</v>
      </c>
      <c r="M157" s="131"/>
      <c r="N157" s="219">
        <v>6</v>
      </c>
      <c r="O157" s="153" t="s">
        <v>576</v>
      </c>
      <c r="P157" s="154" t="s">
        <v>312</v>
      </c>
      <c r="Q157" s="155">
        <f>Q158+Q159</f>
        <v>2.1260000000000003</v>
      </c>
      <c r="R157" s="150">
        <f t="shared" si="30"/>
        <v>9.283000000000001</v>
      </c>
      <c r="S157" s="151">
        <v>12</v>
      </c>
      <c r="T157" s="147">
        <v>120</v>
      </c>
      <c r="U157" s="151">
        <f t="shared" si="32"/>
        <v>-2.7169999999999987</v>
      </c>
      <c r="V157" s="147">
        <v>0</v>
      </c>
      <c r="W157" s="151">
        <f>1.05*16</f>
        <v>16.8</v>
      </c>
      <c r="X157" s="151">
        <f t="shared" si="33"/>
        <v>19.517</v>
      </c>
      <c r="Y157" s="220">
        <f>MIN(X157:X159)</f>
        <v>12.727</v>
      </c>
      <c r="Z157" s="218" t="s">
        <v>435</v>
      </c>
    </row>
    <row r="158" spans="1:26" s="24" customFormat="1" ht="36" customHeight="1">
      <c r="A158" s="221"/>
      <c r="B158" s="148" t="s">
        <v>439</v>
      </c>
      <c r="C158" s="149">
        <v>16</v>
      </c>
      <c r="D158" s="150">
        <v>3.2</v>
      </c>
      <c r="E158" s="151">
        <v>0</v>
      </c>
      <c r="F158" s="147"/>
      <c r="G158" s="151">
        <f t="shared" si="29"/>
        <v>3.2</v>
      </c>
      <c r="H158" s="147">
        <v>0</v>
      </c>
      <c r="I158" s="151">
        <f>1.05*16</f>
        <v>16.8</v>
      </c>
      <c r="J158" s="151">
        <f t="shared" si="31"/>
        <v>13.600000000000001</v>
      </c>
      <c r="K158" s="220"/>
      <c r="L158" s="218"/>
      <c r="M158" s="131"/>
      <c r="N158" s="219"/>
      <c r="O158" s="153" t="s">
        <v>439</v>
      </c>
      <c r="P158" s="154">
        <v>16</v>
      </c>
      <c r="Q158" s="155">
        <f>Q41+Q83+Q98+Q108</f>
        <v>0.873</v>
      </c>
      <c r="R158" s="150">
        <f t="shared" si="30"/>
        <v>4.073</v>
      </c>
      <c r="S158" s="151">
        <v>0</v>
      </c>
      <c r="T158" s="147"/>
      <c r="U158" s="151">
        <f t="shared" si="32"/>
        <v>4.073</v>
      </c>
      <c r="V158" s="147">
        <v>0</v>
      </c>
      <c r="W158" s="151">
        <f>1.05*16</f>
        <v>16.8</v>
      </c>
      <c r="X158" s="151">
        <f t="shared" si="33"/>
        <v>12.727</v>
      </c>
      <c r="Y158" s="220"/>
      <c r="Z158" s="218"/>
    </row>
    <row r="159" spans="1:26" s="24" customFormat="1" ht="36.75" customHeight="1">
      <c r="A159" s="221"/>
      <c r="B159" s="148" t="s">
        <v>442</v>
      </c>
      <c r="C159" s="149">
        <v>16</v>
      </c>
      <c r="D159" s="150">
        <f>3.9+0.057</f>
        <v>3.957</v>
      </c>
      <c r="E159" s="151">
        <v>12</v>
      </c>
      <c r="F159" s="147">
        <v>120</v>
      </c>
      <c r="G159" s="151">
        <f t="shared" si="29"/>
        <v>-8.043</v>
      </c>
      <c r="H159" s="147">
        <v>0</v>
      </c>
      <c r="I159" s="151">
        <f>1.05*16</f>
        <v>16.8</v>
      </c>
      <c r="J159" s="151">
        <f t="shared" si="31"/>
        <v>24.843</v>
      </c>
      <c r="K159" s="220"/>
      <c r="L159" s="218"/>
      <c r="M159" s="131"/>
      <c r="N159" s="219"/>
      <c r="O159" s="153" t="s">
        <v>442</v>
      </c>
      <c r="P159" s="154">
        <v>16</v>
      </c>
      <c r="Q159" s="155">
        <f>0.443+0.072+0.03+0.015+0.015+0.038+0.595+0.045</f>
        <v>1.2530000000000001</v>
      </c>
      <c r="R159" s="150">
        <f t="shared" si="30"/>
        <v>5.21</v>
      </c>
      <c r="S159" s="151">
        <v>12</v>
      </c>
      <c r="T159" s="147">
        <v>120</v>
      </c>
      <c r="U159" s="151">
        <f t="shared" si="32"/>
        <v>-6.79</v>
      </c>
      <c r="V159" s="147">
        <v>0</v>
      </c>
      <c r="W159" s="151">
        <f>1.05*16</f>
        <v>16.8</v>
      </c>
      <c r="X159" s="151">
        <f t="shared" si="33"/>
        <v>23.59</v>
      </c>
      <c r="Y159" s="220"/>
      <c r="Z159" s="218"/>
    </row>
    <row r="160" spans="1:26" s="24" customFormat="1" ht="36" customHeight="1">
      <c r="A160" s="221">
        <v>7</v>
      </c>
      <c r="B160" s="148" t="s">
        <v>577</v>
      </c>
      <c r="C160" s="149" t="s">
        <v>310</v>
      </c>
      <c r="D160" s="150">
        <f>D161+D162</f>
        <v>1.6</v>
      </c>
      <c r="E160" s="151">
        <v>1.3</v>
      </c>
      <c r="F160" s="147">
        <v>120</v>
      </c>
      <c r="G160" s="151">
        <f t="shared" si="29"/>
        <v>0.30000000000000004</v>
      </c>
      <c r="H160" s="147">
        <v>0</v>
      </c>
      <c r="I160" s="151">
        <f>1.05*6.3</f>
        <v>6.615</v>
      </c>
      <c r="J160" s="151">
        <f t="shared" si="31"/>
        <v>6.315</v>
      </c>
      <c r="K160" s="220">
        <f>MIN(J160:J162)</f>
        <v>6.015000000000001</v>
      </c>
      <c r="L160" s="218" t="s">
        <v>435</v>
      </c>
      <c r="M160" s="131"/>
      <c r="N160" s="219">
        <v>7</v>
      </c>
      <c r="O160" s="153" t="s">
        <v>577</v>
      </c>
      <c r="P160" s="154" t="s">
        <v>310</v>
      </c>
      <c r="Q160" s="155">
        <f>Q161+Q162</f>
        <v>1.1229999999999998</v>
      </c>
      <c r="R160" s="150">
        <f t="shared" si="30"/>
        <v>2.723</v>
      </c>
      <c r="S160" s="151">
        <v>1.3</v>
      </c>
      <c r="T160" s="147">
        <v>120</v>
      </c>
      <c r="U160" s="151">
        <f t="shared" si="32"/>
        <v>1.4229999999999998</v>
      </c>
      <c r="V160" s="147">
        <v>0</v>
      </c>
      <c r="W160" s="151">
        <f>1.05*6.3</f>
        <v>6.615</v>
      </c>
      <c r="X160" s="151">
        <f t="shared" si="33"/>
        <v>5.192</v>
      </c>
      <c r="Y160" s="220">
        <f>MIN(X160:X162)</f>
        <v>5.192</v>
      </c>
      <c r="Z160" s="218" t="s">
        <v>435</v>
      </c>
    </row>
    <row r="161" spans="1:26" s="24" customFormat="1" ht="36" customHeight="1">
      <c r="A161" s="221"/>
      <c r="B161" s="148" t="s">
        <v>439</v>
      </c>
      <c r="C161" s="149">
        <v>6.3</v>
      </c>
      <c r="D161" s="150">
        <v>0.6</v>
      </c>
      <c r="E161" s="151"/>
      <c r="F161" s="147"/>
      <c r="G161" s="151">
        <f t="shared" si="29"/>
        <v>0.6</v>
      </c>
      <c r="H161" s="147">
        <v>0</v>
      </c>
      <c r="I161" s="151">
        <f>1.05*6.3</f>
        <v>6.615</v>
      </c>
      <c r="J161" s="151">
        <f t="shared" si="31"/>
        <v>6.015000000000001</v>
      </c>
      <c r="K161" s="220"/>
      <c r="L161" s="218"/>
      <c r="M161" s="131"/>
      <c r="N161" s="219"/>
      <c r="O161" s="153" t="s">
        <v>439</v>
      </c>
      <c r="P161" s="154">
        <v>6.3</v>
      </c>
      <c r="Q161" s="155">
        <f>Q130</f>
        <v>0.373</v>
      </c>
      <c r="R161" s="150">
        <f t="shared" si="30"/>
        <v>0.973</v>
      </c>
      <c r="S161" s="151"/>
      <c r="T161" s="147"/>
      <c r="U161" s="151">
        <f t="shared" si="32"/>
        <v>0.973</v>
      </c>
      <c r="V161" s="147">
        <v>0</v>
      </c>
      <c r="W161" s="151">
        <f>1.05*6.3</f>
        <v>6.615</v>
      </c>
      <c r="X161" s="151">
        <f t="shared" si="33"/>
        <v>5.642</v>
      </c>
      <c r="Y161" s="220"/>
      <c r="Z161" s="218"/>
    </row>
    <row r="162" spans="1:26" s="24" customFormat="1" ht="36.75" customHeight="1">
      <c r="A162" s="221"/>
      <c r="B162" s="148" t="s">
        <v>442</v>
      </c>
      <c r="C162" s="149">
        <v>6.3</v>
      </c>
      <c r="D162" s="150">
        <v>1</v>
      </c>
      <c r="E162" s="151">
        <v>1.3</v>
      </c>
      <c r="F162" s="147">
        <v>120</v>
      </c>
      <c r="G162" s="151">
        <f t="shared" si="29"/>
        <v>-0.30000000000000004</v>
      </c>
      <c r="H162" s="147">
        <v>0</v>
      </c>
      <c r="I162" s="151">
        <f>1.05*6.3</f>
        <v>6.615</v>
      </c>
      <c r="J162" s="151">
        <f t="shared" si="31"/>
        <v>6.915</v>
      </c>
      <c r="K162" s="220"/>
      <c r="L162" s="218"/>
      <c r="M162" s="131"/>
      <c r="N162" s="219"/>
      <c r="O162" s="153" t="s">
        <v>442</v>
      </c>
      <c r="P162" s="154">
        <v>6.3</v>
      </c>
      <c r="Q162" s="155">
        <f>0.047+0.35+0.35+0.003</f>
        <v>0.7499999999999999</v>
      </c>
      <c r="R162" s="150">
        <f t="shared" si="30"/>
        <v>1.75</v>
      </c>
      <c r="S162" s="151">
        <v>1.3</v>
      </c>
      <c r="T162" s="147">
        <v>120</v>
      </c>
      <c r="U162" s="151">
        <f t="shared" si="32"/>
        <v>0.44999999999999996</v>
      </c>
      <c r="V162" s="147">
        <v>0</v>
      </c>
      <c r="W162" s="151">
        <f>1.05*6.3</f>
        <v>6.615</v>
      </c>
      <c r="X162" s="151">
        <f t="shared" si="33"/>
        <v>6.165</v>
      </c>
      <c r="Y162" s="220"/>
      <c r="Z162" s="218"/>
    </row>
    <row r="163" spans="1:26" s="24" customFormat="1" ht="15">
      <c r="A163" s="147">
        <v>8</v>
      </c>
      <c r="B163" s="148" t="s">
        <v>578</v>
      </c>
      <c r="C163" s="149" t="s">
        <v>313</v>
      </c>
      <c r="D163" s="150">
        <v>2.57</v>
      </c>
      <c r="E163" s="151">
        <v>1.17</v>
      </c>
      <c r="F163" s="147">
        <v>45</v>
      </c>
      <c r="G163" s="151">
        <f t="shared" si="29"/>
        <v>1.4</v>
      </c>
      <c r="H163" s="147">
        <v>0</v>
      </c>
      <c r="I163" s="151">
        <f>1.05*2.5</f>
        <v>2.625</v>
      </c>
      <c r="J163" s="151">
        <f t="shared" si="31"/>
        <v>1.225</v>
      </c>
      <c r="K163" s="151">
        <f>J163</f>
        <v>1.225</v>
      </c>
      <c r="L163" s="152" t="s">
        <v>435</v>
      </c>
      <c r="M163" s="131"/>
      <c r="N163" s="138">
        <v>8</v>
      </c>
      <c r="O163" s="153" t="s">
        <v>578</v>
      </c>
      <c r="P163" s="154" t="s">
        <v>313</v>
      </c>
      <c r="Q163" s="155">
        <f>0.05+0.005+0.0165+0.015+0.015+0.007</f>
        <v>0.10850000000000001</v>
      </c>
      <c r="R163" s="150">
        <f t="shared" si="30"/>
        <v>2.6784999999999997</v>
      </c>
      <c r="S163" s="151">
        <v>1.17</v>
      </c>
      <c r="T163" s="147">
        <v>45</v>
      </c>
      <c r="U163" s="151">
        <f t="shared" si="32"/>
        <v>1.5084999999999997</v>
      </c>
      <c r="V163" s="147">
        <v>0</v>
      </c>
      <c r="W163" s="151">
        <f>1.05*2.5</f>
        <v>2.625</v>
      </c>
      <c r="X163" s="151">
        <f t="shared" si="33"/>
        <v>1.1165000000000003</v>
      </c>
      <c r="Y163" s="151">
        <f>X163</f>
        <v>1.1165000000000003</v>
      </c>
      <c r="Z163" s="152" t="s">
        <v>435</v>
      </c>
    </row>
    <row r="164" spans="1:26" s="24" customFormat="1" ht="36" customHeight="1">
      <c r="A164" s="221">
        <v>9</v>
      </c>
      <c r="B164" s="148" t="s">
        <v>579</v>
      </c>
      <c r="C164" s="149" t="s">
        <v>314</v>
      </c>
      <c r="D164" s="150">
        <f>D165+D166</f>
        <v>41.480000000000004</v>
      </c>
      <c r="E164" s="151">
        <f>E165+E166</f>
        <v>16.8</v>
      </c>
      <c r="F164" s="147">
        <v>0</v>
      </c>
      <c r="G164" s="151">
        <f t="shared" si="29"/>
        <v>24.680000000000003</v>
      </c>
      <c r="H164" s="147">
        <v>0</v>
      </c>
      <c r="I164" s="151">
        <f>1.05*(40+40.5)</f>
        <v>84.525</v>
      </c>
      <c r="J164" s="151">
        <f t="shared" si="31"/>
        <v>59.845</v>
      </c>
      <c r="K164" s="220">
        <f>MIN(J164:J166)</f>
        <v>58.045</v>
      </c>
      <c r="L164" s="218" t="s">
        <v>435</v>
      </c>
      <c r="M164" s="131"/>
      <c r="N164" s="219">
        <v>9</v>
      </c>
      <c r="O164" s="153" t="s">
        <v>579</v>
      </c>
      <c r="P164" s="154" t="s">
        <v>314</v>
      </c>
      <c r="Q164" s="155">
        <f>Q165+Q166</f>
        <v>2.3710000000000004</v>
      </c>
      <c r="R164" s="150">
        <f t="shared" si="30"/>
        <v>43.851000000000006</v>
      </c>
      <c r="S164" s="151">
        <v>16.8</v>
      </c>
      <c r="T164" s="147">
        <v>0</v>
      </c>
      <c r="U164" s="151">
        <f t="shared" si="32"/>
        <v>27.051000000000005</v>
      </c>
      <c r="V164" s="147">
        <v>0</v>
      </c>
      <c r="W164" s="151">
        <f>1.05*(40+40.5)</f>
        <v>84.525</v>
      </c>
      <c r="X164" s="151">
        <f t="shared" si="33"/>
        <v>57.474000000000004</v>
      </c>
      <c r="Y164" s="220">
        <f>MIN(X164:X166)</f>
        <v>57.474000000000004</v>
      </c>
      <c r="Z164" s="218" t="s">
        <v>435</v>
      </c>
    </row>
    <row r="165" spans="1:26" s="24" customFormat="1" ht="36" customHeight="1">
      <c r="A165" s="221"/>
      <c r="B165" s="148" t="s">
        <v>439</v>
      </c>
      <c r="C165" s="149" t="s">
        <v>314</v>
      </c>
      <c r="D165" s="150">
        <v>15</v>
      </c>
      <c r="E165" s="151">
        <v>16.8</v>
      </c>
      <c r="F165" s="147">
        <v>0</v>
      </c>
      <c r="G165" s="151">
        <f t="shared" si="29"/>
        <v>-1.8000000000000007</v>
      </c>
      <c r="H165" s="147">
        <v>0</v>
      </c>
      <c r="I165" s="151">
        <f>1.05*(40+40.5)</f>
        <v>84.525</v>
      </c>
      <c r="J165" s="151">
        <f t="shared" si="31"/>
        <v>86.325</v>
      </c>
      <c r="K165" s="220"/>
      <c r="L165" s="218"/>
      <c r="M165" s="131"/>
      <c r="N165" s="219"/>
      <c r="O165" s="153" t="s">
        <v>439</v>
      </c>
      <c r="P165" s="154" t="s">
        <v>314</v>
      </c>
      <c r="Q165" s="155">
        <f>Q31+Q131+Q311+Q333+Q359</f>
        <v>2.0280000000000005</v>
      </c>
      <c r="R165" s="150">
        <f t="shared" si="30"/>
        <v>17.028</v>
      </c>
      <c r="S165" s="151">
        <v>16.8</v>
      </c>
      <c r="T165" s="147">
        <v>0</v>
      </c>
      <c r="U165" s="151">
        <f t="shared" si="32"/>
        <v>0.22799999999999798</v>
      </c>
      <c r="V165" s="147">
        <v>0</v>
      </c>
      <c r="W165" s="151">
        <f>1.05*(40+40.5)</f>
        <v>84.525</v>
      </c>
      <c r="X165" s="151">
        <f t="shared" si="33"/>
        <v>84.29700000000001</v>
      </c>
      <c r="Y165" s="220"/>
      <c r="Z165" s="218"/>
    </row>
    <row r="166" spans="1:26" s="24" customFormat="1" ht="36.75" customHeight="1">
      <c r="A166" s="221"/>
      <c r="B166" s="148" t="s">
        <v>439</v>
      </c>
      <c r="C166" s="149" t="s">
        <v>314</v>
      </c>
      <c r="D166" s="150">
        <v>26.48</v>
      </c>
      <c r="E166" s="151">
        <v>0</v>
      </c>
      <c r="F166" s="147">
        <v>0</v>
      </c>
      <c r="G166" s="151">
        <f t="shared" si="29"/>
        <v>26.48</v>
      </c>
      <c r="H166" s="147">
        <v>0</v>
      </c>
      <c r="I166" s="151">
        <f>1.05*(40+40.5)</f>
        <v>84.525</v>
      </c>
      <c r="J166" s="151">
        <f t="shared" si="31"/>
        <v>58.045</v>
      </c>
      <c r="K166" s="220"/>
      <c r="L166" s="218"/>
      <c r="M166" s="131"/>
      <c r="N166" s="219"/>
      <c r="O166" s="153" t="s">
        <v>439</v>
      </c>
      <c r="P166" s="154" t="s">
        <v>314</v>
      </c>
      <c r="Q166" s="155">
        <f>0.084+0.12+0.065+0.074</f>
        <v>0.343</v>
      </c>
      <c r="R166" s="150">
        <f t="shared" si="30"/>
        <v>26.823</v>
      </c>
      <c r="S166" s="151">
        <v>0</v>
      </c>
      <c r="T166" s="147">
        <v>0</v>
      </c>
      <c r="U166" s="151">
        <f t="shared" si="32"/>
        <v>26.823</v>
      </c>
      <c r="V166" s="147">
        <v>0</v>
      </c>
      <c r="W166" s="151">
        <f>1.05*(40+40.5)</f>
        <v>84.525</v>
      </c>
      <c r="X166" s="151">
        <f t="shared" si="33"/>
        <v>57.702000000000005</v>
      </c>
      <c r="Y166" s="220"/>
      <c r="Z166" s="218"/>
    </row>
    <row r="167" spans="1:26" s="27" customFormat="1" ht="15">
      <c r="A167" s="166">
        <v>10</v>
      </c>
      <c r="B167" s="177" t="s">
        <v>580</v>
      </c>
      <c r="C167" s="178" t="s">
        <v>312</v>
      </c>
      <c r="D167" s="165">
        <v>27.17</v>
      </c>
      <c r="E167" s="165">
        <v>3.2</v>
      </c>
      <c r="F167" s="166">
        <v>15</v>
      </c>
      <c r="G167" s="165">
        <f t="shared" si="29"/>
        <v>23.970000000000002</v>
      </c>
      <c r="H167" s="166">
        <v>0</v>
      </c>
      <c r="I167" s="165">
        <f>1.05*16</f>
        <v>16.8</v>
      </c>
      <c r="J167" s="165">
        <f t="shared" si="31"/>
        <v>-7.170000000000002</v>
      </c>
      <c r="K167" s="165">
        <f>J167</f>
        <v>-7.170000000000002</v>
      </c>
      <c r="L167" s="179" t="s">
        <v>436</v>
      </c>
      <c r="M167" s="131"/>
      <c r="N167" s="170">
        <v>10</v>
      </c>
      <c r="O167" s="162" t="s">
        <v>580</v>
      </c>
      <c r="P167" s="163" t="s">
        <v>312</v>
      </c>
      <c r="Q167" s="164"/>
      <c r="R167" s="165">
        <f t="shared" si="30"/>
        <v>27.17</v>
      </c>
      <c r="S167" s="165">
        <v>3.2</v>
      </c>
      <c r="T167" s="166">
        <v>15</v>
      </c>
      <c r="U167" s="165">
        <f t="shared" si="32"/>
        <v>23.970000000000002</v>
      </c>
      <c r="V167" s="166">
        <v>0</v>
      </c>
      <c r="W167" s="165">
        <f>1.05*16</f>
        <v>16.8</v>
      </c>
      <c r="X167" s="165">
        <f t="shared" si="33"/>
        <v>-7.170000000000002</v>
      </c>
      <c r="Y167" s="165">
        <f>X167</f>
        <v>-7.170000000000002</v>
      </c>
      <c r="Z167" s="179" t="s">
        <v>436</v>
      </c>
    </row>
    <row r="168" spans="1:26" s="24" customFormat="1" ht="36" customHeight="1">
      <c r="A168" s="221">
        <v>11</v>
      </c>
      <c r="B168" s="148" t="s">
        <v>581</v>
      </c>
      <c r="C168" s="149" t="s">
        <v>315</v>
      </c>
      <c r="D168" s="150">
        <f>D169+D170</f>
        <v>6.23</v>
      </c>
      <c r="E168" s="151">
        <v>8.04</v>
      </c>
      <c r="F168" s="147">
        <v>120</v>
      </c>
      <c r="G168" s="151">
        <f t="shared" si="29"/>
        <v>-1.8099999999999987</v>
      </c>
      <c r="H168" s="147">
        <v>0</v>
      </c>
      <c r="I168" s="151">
        <f>1.05*10</f>
        <v>10.5</v>
      </c>
      <c r="J168" s="151">
        <f t="shared" si="31"/>
        <v>12.309999999999999</v>
      </c>
      <c r="K168" s="220">
        <f>MIN(J168:J170)</f>
        <v>8.67</v>
      </c>
      <c r="L168" s="218" t="s">
        <v>435</v>
      </c>
      <c r="M168" s="131"/>
      <c r="N168" s="219">
        <v>11</v>
      </c>
      <c r="O168" s="153" t="s">
        <v>581</v>
      </c>
      <c r="P168" s="154" t="s">
        <v>315</v>
      </c>
      <c r="Q168" s="155">
        <f>Q169+Q170</f>
        <v>1.61</v>
      </c>
      <c r="R168" s="150">
        <f t="shared" si="30"/>
        <v>7.840000000000001</v>
      </c>
      <c r="S168" s="151">
        <v>8.04</v>
      </c>
      <c r="T168" s="147">
        <v>120</v>
      </c>
      <c r="U168" s="151">
        <f t="shared" si="32"/>
        <v>-0.1999999999999984</v>
      </c>
      <c r="V168" s="147">
        <v>0</v>
      </c>
      <c r="W168" s="151">
        <f>1.05*10</f>
        <v>10.5</v>
      </c>
      <c r="X168" s="151">
        <f t="shared" si="33"/>
        <v>10.7</v>
      </c>
      <c r="Y168" s="220">
        <f>MIN(X168:X170)</f>
        <v>8.6645</v>
      </c>
      <c r="Z168" s="218" t="s">
        <v>435</v>
      </c>
    </row>
    <row r="169" spans="1:26" s="24" customFormat="1" ht="36" customHeight="1">
      <c r="A169" s="221"/>
      <c r="B169" s="148" t="s">
        <v>439</v>
      </c>
      <c r="C169" s="149">
        <v>10</v>
      </c>
      <c r="D169" s="150">
        <v>2.96</v>
      </c>
      <c r="E169" s="151">
        <v>6.6</v>
      </c>
      <c r="F169" s="147">
        <v>120</v>
      </c>
      <c r="G169" s="151">
        <f t="shared" si="29"/>
        <v>-3.6399999999999997</v>
      </c>
      <c r="H169" s="147">
        <v>0</v>
      </c>
      <c r="I169" s="151">
        <f>1.05*10</f>
        <v>10.5</v>
      </c>
      <c r="J169" s="151">
        <f t="shared" si="31"/>
        <v>14.14</v>
      </c>
      <c r="K169" s="220"/>
      <c r="L169" s="218"/>
      <c r="M169" s="131"/>
      <c r="N169" s="219"/>
      <c r="O169" s="153" t="s">
        <v>439</v>
      </c>
      <c r="P169" s="154">
        <v>10</v>
      </c>
      <c r="Q169" s="155">
        <f>Q45+Q74+Q79+Q81+Q94+Q316+Q339</f>
        <v>1.6045</v>
      </c>
      <c r="R169" s="150">
        <f t="shared" si="30"/>
        <v>4.5645</v>
      </c>
      <c r="S169" s="151">
        <v>6.6</v>
      </c>
      <c r="T169" s="147">
        <v>120</v>
      </c>
      <c r="U169" s="151">
        <f t="shared" si="32"/>
        <v>-2.0355</v>
      </c>
      <c r="V169" s="147">
        <v>0</v>
      </c>
      <c r="W169" s="151">
        <f>1.05*10</f>
        <v>10.5</v>
      </c>
      <c r="X169" s="151">
        <f t="shared" si="33"/>
        <v>12.535499999999999</v>
      </c>
      <c r="Y169" s="220"/>
      <c r="Z169" s="218"/>
    </row>
    <row r="170" spans="1:26" s="24" customFormat="1" ht="36.75" customHeight="1">
      <c r="A170" s="221"/>
      <c r="B170" s="148" t="s">
        <v>442</v>
      </c>
      <c r="C170" s="149">
        <v>10</v>
      </c>
      <c r="D170" s="150">
        <v>3.27</v>
      </c>
      <c r="E170" s="151">
        <v>1.44</v>
      </c>
      <c r="F170" s="147">
        <v>80</v>
      </c>
      <c r="G170" s="151">
        <f t="shared" si="29"/>
        <v>1.83</v>
      </c>
      <c r="H170" s="147">
        <v>0</v>
      </c>
      <c r="I170" s="151">
        <f>1.05*10</f>
        <v>10.5</v>
      </c>
      <c r="J170" s="151">
        <f t="shared" si="31"/>
        <v>8.67</v>
      </c>
      <c r="K170" s="220"/>
      <c r="L170" s="218"/>
      <c r="M170" s="131"/>
      <c r="N170" s="219"/>
      <c r="O170" s="153" t="s">
        <v>442</v>
      </c>
      <c r="P170" s="154">
        <v>10</v>
      </c>
      <c r="Q170" s="155">
        <v>0.0055</v>
      </c>
      <c r="R170" s="150">
        <f t="shared" si="30"/>
        <v>3.2755</v>
      </c>
      <c r="S170" s="151">
        <v>1.44</v>
      </c>
      <c r="T170" s="147">
        <v>80</v>
      </c>
      <c r="U170" s="151">
        <f t="shared" si="32"/>
        <v>1.8355000000000001</v>
      </c>
      <c r="V170" s="147">
        <v>0</v>
      </c>
      <c r="W170" s="151">
        <f>1.05*10</f>
        <v>10.5</v>
      </c>
      <c r="X170" s="151">
        <f t="shared" si="33"/>
        <v>8.6645</v>
      </c>
      <c r="Y170" s="220"/>
      <c r="Z170" s="218"/>
    </row>
    <row r="171" spans="1:26" s="24" customFormat="1" ht="15">
      <c r="A171" s="147">
        <v>12</v>
      </c>
      <c r="B171" s="148" t="s">
        <v>582</v>
      </c>
      <c r="C171" s="149" t="s">
        <v>316</v>
      </c>
      <c r="D171" s="150">
        <f>12.72-4.2</f>
        <v>8.52</v>
      </c>
      <c r="E171" s="151">
        <v>0</v>
      </c>
      <c r="F171" s="147">
        <v>0</v>
      </c>
      <c r="G171" s="151">
        <f t="shared" si="29"/>
        <v>8.52</v>
      </c>
      <c r="H171" s="147">
        <v>0</v>
      </c>
      <c r="I171" s="151">
        <f>1.05*25</f>
        <v>26.25</v>
      </c>
      <c r="J171" s="151">
        <f t="shared" si="31"/>
        <v>17.73</v>
      </c>
      <c r="K171" s="151">
        <f>J171</f>
        <v>17.73</v>
      </c>
      <c r="L171" s="152" t="s">
        <v>435</v>
      </c>
      <c r="M171" s="131"/>
      <c r="N171" s="138">
        <v>12</v>
      </c>
      <c r="O171" s="153" t="s">
        <v>582</v>
      </c>
      <c r="P171" s="154" t="s">
        <v>316</v>
      </c>
      <c r="Q171" s="155">
        <f>4.53+0.000042+0.450195+0.015+0.005937+0.011+0.000184</f>
        <v>5.012358</v>
      </c>
      <c r="R171" s="150">
        <f t="shared" si="30"/>
        <v>13.532357999999999</v>
      </c>
      <c r="S171" s="151">
        <v>0</v>
      </c>
      <c r="T171" s="147">
        <v>0</v>
      </c>
      <c r="U171" s="151">
        <f t="shared" si="32"/>
        <v>13.532357999999999</v>
      </c>
      <c r="V171" s="147">
        <v>0</v>
      </c>
      <c r="W171" s="151">
        <f>1.05*25</f>
        <v>26.25</v>
      </c>
      <c r="X171" s="151">
        <f t="shared" si="33"/>
        <v>12.717642000000001</v>
      </c>
      <c r="Y171" s="151">
        <f>X171</f>
        <v>12.717642000000001</v>
      </c>
      <c r="Z171" s="152" t="s">
        <v>435</v>
      </c>
    </row>
    <row r="172" spans="1:26" s="24" customFormat="1" ht="36" customHeight="1">
      <c r="A172" s="221">
        <v>13</v>
      </c>
      <c r="B172" s="148" t="s">
        <v>583</v>
      </c>
      <c r="C172" s="149" t="s">
        <v>317</v>
      </c>
      <c r="D172" s="150">
        <f>D173+D174</f>
        <v>8</v>
      </c>
      <c r="E172" s="151">
        <f>E173+E174</f>
        <v>6.52</v>
      </c>
      <c r="F172" s="147">
        <v>120</v>
      </c>
      <c r="G172" s="151">
        <f t="shared" si="29"/>
        <v>1.4800000000000004</v>
      </c>
      <c r="H172" s="147">
        <v>0</v>
      </c>
      <c r="I172" s="151">
        <f aca="true" t="shared" si="34" ref="I172:I178">1.05*10</f>
        <v>10.5</v>
      </c>
      <c r="J172" s="151">
        <f t="shared" si="31"/>
        <v>9.02</v>
      </c>
      <c r="K172" s="220">
        <f>MIN(J172:J174)</f>
        <v>7.609999999999999</v>
      </c>
      <c r="L172" s="218" t="s">
        <v>435</v>
      </c>
      <c r="M172" s="131"/>
      <c r="N172" s="230">
        <v>13</v>
      </c>
      <c r="O172" s="162" t="s">
        <v>583</v>
      </c>
      <c r="P172" s="163" t="s">
        <v>317</v>
      </c>
      <c r="Q172" s="164">
        <f>Q173+Q174</f>
        <v>12.24574</v>
      </c>
      <c r="R172" s="165">
        <f t="shared" si="30"/>
        <v>20.245739999999998</v>
      </c>
      <c r="S172" s="165">
        <v>6.52</v>
      </c>
      <c r="T172" s="166">
        <v>120</v>
      </c>
      <c r="U172" s="165">
        <f t="shared" si="32"/>
        <v>13.725739999999998</v>
      </c>
      <c r="V172" s="166">
        <v>0</v>
      </c>
      <c r="W172" s="165">
        <f aca="true" t="shared" si="35" ref="W172:W178">1.05*10</f>
        <v>10.5</v>
      </c>
      <c r="X172" s="165">
        <f t="shared" si="33"/>
        <v>-3.2257399999999983</v>
      </c>
      <c r="Y172" s="227">
        <f>MIN(X172:X174)</f>
        <v>-3.2257399999999983</v>
      </c>
      <c r="Z172" s="228" t="s">
        <v>436</v>
      </c>
    </row>
    <row r="173" spans="1:26" s="24" customFormat="1" ht="36" customHeight="1">
      <c r="A173" s="221"/>
      <c r="B173" s="148" t="s">
        <v>439</v>
      </c>
      <c r="C173" s="149" t="s">
        <v>317</v>
      </c>
      <c r="D173" s="150">
        <v>4.65</v>
      </c>
      <c r="E173" s="151">
        <v>6.06</v>
      </c>
      <c r="F173" s="147"/>
      <c r="G173" s="151">
        <f t="shared" si="29"/>
        <v>-1.4099999999999993</v>
      </c>
      <c r="H173" s="147">
        <v>0</v>
      </c>
      <c r="I173" s="151">
        <f t="shared" si="34"/>
        <v>10.5</v>
      </c>
      <c r="J173" s="151">
        <f t="shared" si="31"/>
        <v>11.91</v>
      </c>
      <c r="K173" s="220"/>
      <c r="L173" s="218"/>
      <c r="M173" s="131"/>
      <c r="N173" s="230"/>
      <c r="O173" s="162" t="s">
        <v>439</v>
      </c>
      <c r="P173" s="163" t="s">
        <v>317</v>
      </c>
      <c r="Q173" s="164">
        <f>Q49+Q75+Q96+Q118+Q146+Q350+Q354</f>
        <v>11.51264</v>
      </c>
      <c r="R173" s="165">
        <f t="shared" si="30"/>
        <v>16.16264</v>
      </c>
      <c r="S173" s="165">
        <v>6.06</v>
      </c>
      <c r="T173" s="166"/>
      <c r="U173" s="165">
        <f t="shared" si="32"/>
        <v>10.102640000000001</v>
      </c>
      <c r="V173" s="166">
        <v>0</v>
      </c>
      <c r="W173" s="165">
        <f t="shared" si="35"/>
        <v>10.5</v>
      </c>
      <c r="X173" s="165">
        <f t="shared" si="33"/>
        <v>0.39735999999999905</v>
      </c>
      <c r="Y173" s="227"/>
      <c r="Z173" s="228"/>
    </row>
    <row r="174" spans="1:26" s="24" customFormat="1" ht="36.75" customHeight="1">
      <c r="A174" s="221"/>
      <c r="B174" s="148" t="s">
        <v>442</v>
      </c>
      <c r="C174" s="149" t="s">
        <v>317</v>
      </c>
      <c r="D174" s="150">
        <v>3.35</v>
      </c>
      <c r="E174" s="151">
        <v>0.46</v>
      </c>
      <c r="F174" s="147">
        <v>120</v>
      </c>
      <c r="G174" s="151">
        <f t="shared" si="29"/>
        <v>2.89</v>
      </c>
      <c r="H174" s="147">
        <v>0</v>
      </c>
      <c r="I174" s="151">
        <f t="shared" si="34"/>
        <v>10.5</v>
      </c>
      <c r="J174" s="151">
        <f t="shared" si="31"/>
        <v>7.609999999999999</v>
      </c>
      <c r="K174" s="220"/>
      <c r="L174" s="218"/>
      <c r="M174" s="131"/>
      <c r="N174" s="230"/>
      <c r="O174" s="162" t="s">
        <v>442</v>
      </c>
      <c r="P174" s="163" t="s">
        <v>317</v>
      </c>
      <c r="Q174" s="164">
        <f>0.429+0.033+0.0085+0.015+0.017+0.051+0.0706+0.075+0.005+0.029</f>
        <v>0.7331</v>
      </c>
      <c r="R174" s="165">
        <f t="shared" si="30"/>
        <v>4.0831</v>
      </c>
      <c r="S174" s="165">
        <v>0.46</v>
      </c>
      <c r="T174" s="166">
        <v>120</v>
      </c>
      <c r="U174" s="165">
        <f t="shared" si="32"/>
        <v>3.6231</v>
      </c>
      <c r="V174" s="166">
        <v>0</v>
      </c>
      <c r="W174" s="165">
        <f t="shared" si="35"/>
        <v>10.5</v>
      </c>
      <c r="X174" s="165">
        <f t="shared" si="33"/>
        <v>6.8769</v>
      </c>
      <c r="Y174" s="227"/>
      <c r="Z174" s="228"/>
    </row>
    <row r="175" spans="1:26" s="24" customFormat="1" ht="36" customHeight="1">
      <c r="A175" s="221">
        <v>14</v>
      </c>
      <c r="B175" s="148" t="s">
        <v>584</v>
      </c>
      <c r="C175" s="149" t="s">
        <v>315</v>
      </c>
      <c r="D175" s="171">
        <f>D176+D177</f>
        <v>5.9399999999999995</v>
      </c>
      <c r="E175" s="151">
        <v>10.4</v>
      </c>
      <c r="F175" s="147">
        <v>120</v>
      </c>
      <c r="G175" s="151">
        <f t="shared" si="29"/>
        <v>-4.460000000000001</v>
      </c>
      <c r="H175" s="147">
        <v>0</v>
      </c>
      <c r="I175" s="151">
        <f t="shared" si="34"/>
        <v>10.5</v>
      </c>
      <c r="J175" s="151">
        <f t="shared" si="31"/>
        <v>14.96</v>
      </c>
      <c r="K175" s="220">
        <f>MIN(J175:J177)</f>
        <v>9.97</v>
      </c>
      <c r="L175" s="218" t="s">
        <v>435</v>
      </c>
      <c r="M175" s="131"/>
      <c r="N175" s="219">
        <v>14</v>
      </c>
      <c r="O175" s="153" t="s">
        <v>584</v>
      </c>
      <c r="P175" s="154" t="s">
        <v>315</v>
      </c>
      <c r="Q175" s="155">
        <f>Q176+Q177</f>
        <v>1.7352</v>
      </c>
      <c r="R175" s="150">
        <f t="shared" si="30"/>
        <v>7.675199999999999</v>
      </c>
      <c r="S175" s="151">
        <v>10.4</v>
      </c>
      <c r="T175" s="147">
        <v>120</v>
      </c>
      <c r="U175" s="151">
        <f t="shared" si="32"/>
        <v>-2.724800000000001</v>
      </c>
      <c r="V175" s="147">
        <v>0</v>
      </c>
      <c r="W175" s="151">
        <f t="shared" si="35"/>
        <v>10.5</v>
      </c>
      <c r="X175" s="151">
        <f t="shared" si="33"/>
        <v>13.224800000000002</v>
      </c>
      <c r="Y175" s="220">
        <f>MIN(X175:X177)</f>
        <v>8.313</v>
      </c>
      <c r="Z175" s="218" t="s">
        <v>435</v>
      </c>
    </row>
    <row r="176" spans="1:26" s="24" customFormat="1" ht="36" customHeight="1">
      <c r="A176" s="221"/>
      <c r="B176" s="148" t="s">
        <v>439</v>
      </c>
      <c r="C176" s="149">
        <v>10</v>
      </c>
      <c r="D176" s="171">
        <v>2.41</v>
      </c>
      <c r="E176" s="151">
        <v>7.4</v>
      </c>
      <c r="F176" s="147"/>
      <c r="G176" s="151">
        <f t="shared" si="29"/>
        <v>-4.99</v>
      </c>
      <c r="H176" s="147">
        <v>0</v>
      </c>
      <c r="I176" s="151">
        <f t="shared" si="34"/>
        <v>10.5</v>
      </c>
      <c r="J176" s="151">
        <f t="shared" si="31"/>
        <v>15.49</v>
      </c>
      <c r="K176" s="220"/>
      <c r="L176" s="218"/>
      <c r="M176" s="131"/>
      <c r="N176" s="219"/>
      <c r="O176" s="153" t="s">
        <v>439</v>
      </c>
      <c r="P176" s="154">
        <v>10</v>
      </c>
      <c r="Q176" s="155">
        <f>Q342+Q392</f>
        <v>0.07819999999999999</v>
      </c>
      <c r="R176" s="150">
        <f t="shared" si="30"/>
        <v>2.4882</v>
      </c>
      <c r="S176" s="151">
        <v>7.4</v>
      </c>
      <c r="T176" s="147"/>
      <c r="U176" s="151">
        <f t="shared" si="32"/>
        <v>-4.9118</v>
      </c>
      <c r="V176" s="147">
        <v>0</v>
      </c>
      <c r="W176" s="151">
        <f t="shared" si="35"/>
        <v>10.5</v>
      </c>
      <c r="X176" s="151">
        <f t="shared" si="33"/>
        <v>15.4118</v>
      </c>
      <c r="Y176" s="220"/>
      <c r="Z176" s="218"/>
    </row>
    <row r="177" spans="1:26" s="24" customFormat="1" ht="36.75" customHeight="1">
      <c r="A177" s="221"/>
      <c r="B177" s="148" t="s">
        <v>442</v>
      </c>
      <c r="C177" s="149">
        <v>10</v>
      </c>
      <c r="D177" s="171">
        <v>3.53</v>
      </c>
      <c r="E177" s="151">
        <v>3</v>
      </c>
      <c r="F177" s="147">
        <v>80</v>
      </c>
      <c r="G177" s="151">
        <f t="shared" si="29"/>
        <v>0.5299999999999998</v>
      </c>
      <c r="H177" s="147">
        <v>0</v>
      </c>
      <c r="I177" s="151">
        <f t="shared" si="34"/>
        <v>10.5</v>
      </c>
      <c r="J177" s="151">
        <f t="shared" si="31"/>
        <v>9.97</v>
      </c>
      <c r="K177" s="220"/>
      <c r="L177" s="218"/>
      <c r="M177" s="131"/>
      <c r="N177" s="219"/>
      <c r="O177" s="153" t="s">
        <v>442</v>
      </c>
      <c r="P177" s="154">
        <v>10</v>
      </c>
      <c r="Q177" s="155">
        <f>0.283+0.02+0.001+0.015+0.03+1.093+0.05+0.165</f>
        <v>1.657</v>
      </c>
      <c r="R177" s="150">
        <f t="shared" si="30"/>
        <v>5.186999999999999</v>
      </c>
      <c r="S177" s="151">
        <v>3</v>
      </c>
      <c r="T177" s="147">
        <v>80</v>
      </c>
      <c r="U177" s="151">
        <f t="shared" si="32"/>
        <v>2.1869999999999994</v>
      </c>
      <c r="V177" s="147">
        <v>0</v>
      </c>
      <c r="W177" s="151">
        <f t="shared" si="35"/>
        <v>10.5</v>
      </c>
      <c r="X177" s="151">
        <f t="shared" si="33"/>
        <v>8.313</v>
      </c>
      <c r="Y177" s="220"/>
      <c r="Z177" s="218"/>
    </row>
    <row r="178" spans="1:26" s="24" customFormat="1" ht="15">
      <c r="A178" s="147">
        <v>15</v>
      </c>
      <c r="B178" s="148" t="s">
        <v>585</v>
      </c>
      <c r="C178" s="149" t="s">
        <v>315</v>
      </c>
      <c r="D178" s="150">
        <v>0.9</v>
      </c>
      <c r="E178" s="151">
        <v>0.5</v>
      </c>
      <c r="F178" s="147">
        <v>120</v>
      </c>
      <c r="G178" s="151">
        <f t="shared" si="29"/>
        <v>0.4</v>
      </c>
      <c r="H178" s="147">
        <v>0</v>
      </c>
      <c r="I178" s="151">
        <f t="shared" si="34"/>
        <v>10.5</v>
      </c>
      <c r="J178" s="151">
        <f t="shared" si="31"/>
        <v>10.1</v>
      </c>
      <c r="K178" s="151">
        <f>J178</f>
        <v>10.1</v>
      </c>
      <c r="L178" s="152" t="s">
        <v>435</v>
      </c>
      <c r="M178" s="131"/>
      <c r="N178" s="138">
        <v>15</v>
      </c>
      <c r="O178" s="153" t="s">
        <v>585</v>
      </c>
      <c r="P178" s="154" t="s">
        <v>315</v>
      </c>
      <c r="Q178" s="155">
        <v>0.017</v>
      </c>
      <c r="R178" s="150">
        <f t="shared" si="30"/>
        <v>0.917</v>
      </c>
      <c r="S178" s="151">
        <v>0.5</v>
      </c>
      <c r="T178" s="147">
        <v>120</v>
      </c>
      <c r="U178" s="151">
        <f t="shared" si="32"/>
        <v>0.41700000000000004</v>
      </c>
      <c r="V178" s="147">
        <v>0</v>
      </c>
      <c r="W178" s="151">
        <f t="shared" si="35"/>
        <v>10.5</v>
      </c>
      <c r="X178" s="151">
        <f t="shared" si="33"/>
        <v>10.083</v>
      </c>
      <c r="Y178" s="151">
        <f>X178</f>
        <v>10.083</v>
      </c>
      <c r="Z178" s="152" t="s">
        <v>435</v>
      </c>
    </row>
    <row r="179" spans="1:26" s="24" customFormat="1" ht="36" customHeight="1">
      <c r="A179" s="221">
        <v>16</v>
      </c>
      <c r="B179" s="148" t="s">
        <v>586</v>
      </c>
      <c r="C179" s="149" t="s">
        <v>315</v>
      </c>
      <c r="D179" s="150">
        <f>D180+D181</f>
        <v>1.22</v>
      </c>
      <c r="E179" s="151">
        <f>E180+E181</f>
        <v>5.16</v>
      </c>
      <c r="F179" s="147">
        <v>120</v>
      </c>
      <c r="G179" s="151">
        <f t="shared" si="29"/>
        <v>-3.9400000000000004</v>
      </c>
      <c r="H179" s="147">
        <v>0</v>
      </c>
      <c r="I179" s="151">
        <f>1.05*10</f>
        <v>10.5</v>
      </c>
      <c r="J179" s="151">
        <f t="shared" si="31"/>
        <v>14.440000000000001</v>
      </c>
      <c r="K179" s="220">
        <f>MIN(J179:J181)</f>
        <v>10.97</v>
      </c>
      <c r="L179" s="218" t="s">
        <v>435</v>
      </c>
      <c r="M179" s="131"/>
      <c r="N179" s="219">
        <v>16</v>
      </c>
      <c r="O179" s="153" t="s">
        <v>586</v>
      </c>
      <c r="P179" s="154" t="s">
        <v>315</v>
      </c>
      <c r="Q179" s="150">
        <f>Q180+Q181</f>
        <v>4.0625</v>
      </c>
      <c r="R179" s="150">
        <f t="shared" si="30"/>
        <v>5.2825</v>
      </c>
      <c r="S179" s="151">
        <v>5.16</v>
      </c>
      <c r="T179" s="147">
        <v>120</v>
      </c>
      <c r="U179" s="151">
        <f t="shared" si="32"/>
        <v>0.12249999999999961</v>
      </c>
      <c r="V179" s="147">
        <v>0</v>
      </c>
      <c r="W179" s="151">
        <f>1.05*10</f>
        <v>10.5</v>
      </c>
      <c r="X179" s="151">
        <f t="shared" si="33"/>
        <v>10.377500000000001</v>
      </c>
      <c r="Y179" s="220">
        <f>MIN(X179:X181)</f>
        <v>9.907499999999999</v>
      </c>
      <c r="Z179" s="218" t="s">
        <v>435</v>
      </c>
    </row>
    <row r="180" spans="1:26" s="24" customFormat="1" ht="36" customHeight="1">
      <c r="A180" s="221"/>
      <c r="B180" s="148" t="s">
        <v>439</v>
      </c>
      <c r="C180" s="149">
        <v>10</v>
      </c>
      <c r="D180" s="150">
        <v>1.03</v>
      </c>
      <c r="E180" s="151">
        <v>4.5</v>
      </c>
      <c r="F180" s="147" t="s">
        <v>437</v>
      </c>
      <c r="G180" s="151">
        <f t="shared" si="29"/>
        <v>-3.4699999999999998</v>
      </c>
      <c r="H180" s="147">
        <v>0</v>
      </c>
      <c r="I180" s="151">
        <f>1.05*10</f>
        <v>10.5</v>
      </c>
      <c r="J180" s="151">
        <f t="shared" si="31"/>
        <v>13.969999999999999</v>
      </c>
      <c r="K180" s="220"/>
      <c r="L180" s="218"/>
      <c r="M180" s="131"/>
      <c r="N180" s="219"/>
      <c r="O180" s="153" t="s">
        <v>439</v>
      </c>
      <c r="P180" s="154">
        <v>10</v>
      </c>
      <c r="Q180" s="155">
        <f>Q272+Q513</f>
        <v>4.0625</v>
      </c>
      <c r="R180" s="150">
        <f t="shared" si="30"/>
        <v>5.0925</v>
      </c>
      <c r="S180" s="151">
        <v>4.5</v>
      </c>
      <c r="T180" s="147" t="s">
        <v>437</v>
      </c>
      <c r="U180" s="151">
        <f t="shared" si="32"/>
        <v>0.5925000000000002</v>
      </c>
      <c r="V180" s="147">
        <v>0</v>
      </c>
      <c r="W180" s="151">
        <f>1.05*10</f>
        <v>10.5</v>
      </c>
      <c r="X180" s="151">
        <f t="shared" si="33"/>
        <v>9.907499999999999</v>
      </c>
      <c r="Y180" s="220"/>
      <c r="Z180" s="218"/>
    </row>
    <row r="181" spans="1:26" s="24" customFormat="1" ht="36.75" customHeight="1">
      <c r="A181" s="221"/>
      <c r="B181" s="148" t="s">
        <v>442</v>
      </c>
      <c r="C181" s="149">
        <v>10</v>
      </c>
      <c r="D181" s="150">
        <v>0.19</v>
      </c>
      <c r="E181" s="151">
        <v>0.66</v>
      </c>
      <c r="F181" s="147">
        <v>120</v>
      </c>
      <c r="G181" s="151">
        <f t="shared" si="29"/>
        <v>-0.47000000000000003</v>
      </c>
      <c r="H181" s="147">
        <v>0</v>
      </c>
      <c r="I181" s="151">
        <f>1.05*10</f>
        <v>10.5</v>
      </c>
      <c r="J181" s="151">
        <f t="shared" si="31"/>
        <v>10.97</v>
      </c>
      <c r="K181" s="220"/>
      <c r="L181" s="218"/>
      <c r="M181" s="131"/>
      <c r="N181" s="219"/>
      <c r="O181" s="153" t="s">
        <v>442</v>
      </c>
      <c r="P181" s="154">
        <v>10</v>
      </c>
      <c r="Q181" s="155"/>
      <c r="R181" s="150">
        <f t="shared" si="30"/>
        <v>0.19</v>
      </c>
      <c r="S181" s="151">
        <v>0.66</v>
      </c>
      <c r="T181" s="147">
        <v>120</v>
      </c>
      <c r="U181" s="151">
        <f t="shared" si="32"/>
        <v>-0.47000000000000003</v>
      </c>
      <c r="V181" s="147">
        <v>0</v>
      </c>
      <c r="W181" s="151">
        <f>1.05*10</f>
        <v>10.5</v>
      </c>
      <c r="X181" s="151">
        <f t="shared" si="33"/>
        <v>10.97</v>
      </c>
      <c r="Y181" s="220"/>
      <c r="Z181" s="218"/>
    </row>
    <row r="182" spans="1:26" s="24" customFormat="1" ht="36" customHeight="1">
      <c r="A182" s="221">
        <v>17</v>
      </c>
      <c r="B182" s="148" t="s">
        <v>587</v>
      </c>
      <c r="C182" s="149" t="s">
        <v>316</v>
      </c>
      <c r="D182" s="150">
        <f>D183+D184</f>
        <v>7.52</v>
      </c>
      <c r="E182" s="151">
        <f>E183+E184</f>
        <v>22.1</v>
      </c>
      <c r="F182" s="147">
        <v>80</v>
      </c>
      <c r="G182" s="151">
        <f t="shared" si="29"/>
        <v>-14.580000000000002</v>
      </c>
      <c r="H182" s="147">
        <v>0</v>
      </c>
      <c r="I182" s="151">
        <f>1.05*25</f>
        <v>26.25</v>
      </c>
      <c r="J182" s="151">
        <f t="shared" si="31"/>
        <v>40.83</v>
      </c>
      <c r="K182" s="220">
        <f>MIN(J182:J184)</f>
        <v>25.21</v>
      </c>
      <c r="L182" s="218" t="s">
        <v>435</v>
      </c>
      <c r="M182" s="131"/>
      <c r="N182" s="219">
        <v>17</v>
      </c>
      <c r="O182" s="153" t="s">
        <v>587</v>
      </c>
      <c r="P182" s="154" t="s">
        <v>316</v>
      </c>
      <c r="Q182" s="155">
        <f>Q183+Q184</f>
        <v>0.5810690000000001</v>
      </c>
      <c r="R182" s="150">
        <f t="shared" si="30"/>
        <v>8.101068999999999</v>
      </c>
      <c r="S182" s="151">
        <v>22.1</v>
      </c>
      <c r="T182" s="147">
        <v>80</v>
      </c>
      <c r="U182" s="151">
        <f t="shared" si="32"/>
        <v>-13.998931000000002</v>
      </c>
      <c r="V182" s="147">
        <v>0</v>
      </c>
      <c r="W182" s="151">
        <f>1.05*25</f>
        <v>26.25</v>
      </c>
      <c r="X182" s="151">
        <f t="shared" si="33"/>
        <v>40.248931</v>
      </c>
      <c r="Y182" s="220">
        <f>MIN(X182:X184)</f>
        <v>24.800931</v>
      </c>
      <c r="Z182" s="218" t="s">
        <v>435</v>
      </c>
    </row>
    <row r="183" spans="1:26" s="24" customFormat="1" ht="36" customHeight="1">
      <c r="A183" s="221"/>
      <c r="B183" s="148" t="s">
        <v>439</v>
      </c>
      <c r="C183" s="149">
        <v>25</v>
      </c>
      <c r="D183" s="150">
        <v>3.18</v>
      </c>
      <c r="E183" s="151">
        <v>18.8</v>
      </c>
      <c r="F183" s="147"/>
      <c r="G183" s="151">
        <f t="shared" si="29"/>
        <v>-15.620000000000001</v>
      </c>
      <c r="H183" s="147">
        <v>0</v>
      </c>
      <c r="I183" s="151">
        <f>1.05*25</f>
        <v>26.25</v>
      </c>
      <c r="J183" s="151">
        <f t="shared" si="31"/>
        <v>41.870000000000005</v>
      </c>
      <c r="K183" s="220"/>
      <c r="L183" s="218"/>
      <c r="M183" s="131"/>
      <c r="N183" s="219"/>
      <c r="O183" s="153" t="s">
        <v>439</v>
      </c>
      <c r="P183" s="154">
        <v>25</v>
      </c>
      <c r="Q183" s="155">
        <f>Q43+Q70+Q77+Q137+Q138+Q347</f>
        <v>0.172</v>
      </c>
      <c r="R183" s="150">
        <f aca="true" t="shared" si="36" ref="R183:R214">Q183+D183</f>
        <v>3.3520000000000003</v>
      </c>
      <c r="S183" s="151">
        <v>18.8</v>
      </c>
      <c r="T183" s="147"/>
      <c r="U183" s="151">
        <f t="shared" si="32"/>
        <v>-15.448</v>
      </c>
      <c r="V183" s="147">
        <v>0</v>
      </c>
      <c r="W183" s="151">
        <f>1.05*25</f>
        <v>26.25</v>
      </c>
      <c r="X183" s="151">
        <f t="shared" si="33"/>
        <v>41.698</v>
      </c>
      <c r="Y183" s="220"/>
      <c r="Z183" s="218"/>
    </row>
    <row r="184" spans="1:26" s="24" customFormat="1" ht="36.75" customHeight="1">
      <c r="A184" s="221"/>
      <c r="B184" s="148" t="s">
        <v>442</v>
      </c>
      <c r="C184" s="149">
        <v>25</v>
      </c>
      <c r="D184" s="150">
        <v>4.34</v>
      </c>
      <c r="E184" s="151">
        <v>3.3</v>
      </c>
      <c r="F184" s="147">
        <v>120</v>
      </c>
      <c r="G184" s="151">
        <f t="shared" si="29"/>
        <v>1.04</v>
      </c>
      <c r="H184" s="147">
        <v>0</v>
      </c>
      <c r="I184" s="151">
        <f>1.05*25</f>
        <v>26.25</v>
      </c>
      <c r="J184" s="151">
        <f t="shared" si="31"/>
        <v>25.21</v>
      </c>
      <c r="K184" s="220"/>
      <c r="L184" s="218"/>
      <c r="M184" s="131"/>
      <c r="N184" s="219"/>
      <c r="O184" s="153" t="s">
        <v>442</v>
      </c>
      <c r="P184" s="154">
        <v>25</v>
      </c>
      <c r="Q184" s="155">
        <f>0.242+0.025+0.013+0.004+0.027+0.008+0.000069+0.09</f>
        <v>0.409069</v>
      </c>
      <c r="R184" s="150">
        <f t="shared" si="36"/>
        <v>4.7490689999999995</v>
      </c>
      <c r="S184" s="151">
        <v>3.3</v>
      </c>
      <c r="T184" s="147">
        <v>120</v>
      </c>
      <c r="U184" s="151">
        <f t="shared" si="32"/>
        <v>1.4490689999999997</v>
      </c>
      <c r="V184" s="147">
        <v>0</v>
      </c>
      <c r="W184" s="151">
        <f>1.05*25</f>
        <v>26.25</v>
      </c>
      <c r="X184" s="151">
        <f t="shared" si="33"/>
        <v>24.800931</v>
      </c>
      <c r="Y184" s="220"/>
      <c r="Z184" s="218"/>
    </row>
    <row r="185" spans="1:26" s="27" customFormat="1" ht="36" customHeight="1">
      <c r="A185" s="229">
        <v>18</v>
      </c>
      <c r="B185" s="181" t="s">
        <v>588</v>
      </c>
      <c r="C185" s="182" t="s">
        <v>310</v>
      </c>
      <c r="D185" s="165">
        <f>D186+D187</f>
        <v>12.079999999999998</v>
      </c>
      <c r="E185" s="165">
        <f>E186+E187</f>
        <v>5.45</v>
      </c>
      <c r="F185" s="166">
        <v>20</v>
      </c>
      <c r="G185" s="165">
        <f t="shared" si="29"/>
        <v>6.629999999999998</v>
      </c>
      <c r="H185" s="166">
        <v>0</v>
      </c>
      <c r="I185" s="165">
        <f>1.05*6.3</f>
        <v>6.615</v>
      </c>
      <c r="J185" s="165">
        <f t="shared" si="31"/>
        <v>-0.014999999999997904</v>
      </c>
      <c r="K185" s="227">
        <f>MIN(J185:J187)</f>
        <v>-0.3049999999999988</v>
      </c>
      <c r="L185" s="228" t="s">
        <v>436</v>
      </c>
      <c r="M185" s="131"/>
      <c r="N185" s="230">
        <v>18</v>
      </c>
      <c r="O185" s="162" t="s">
        <v>588</v>
      </c>
      <c r="P185" s="163" t="s">
        <v>310</v>
      </c>
      <c r="Q185" s="164">
        <f>Q186+Q187</f>
        <v>6.5569999999999995</v>
      </c>
      <c r="R185" s="165">
        <f t="shared" si="36"/>
        <v>18.636999999999997</v>
      </c>
      <c r="S185" s="165">
        <v>5.45</v>
      </c>
      <c r="T185" s="166">
        <v>20</v>
      </c>
      <c r="U185" s="165">
        <f t="shared" si="32"/>
        <v>13.186999999999998</v>
      </c>
      <c r="V185" s="166">
        <v>0</v>
      </c>
      <c r="W185" s="165">
        <f>1.05*6.3</f>
        <v>6.615</v>
      </c>
      <c r="X185" s="165">
        <f t="shared" si="33"/>
        <v>-6.571999999999997</v>
      </c>
      <c r="Y185" s="227">
        <f>MIN(X185:X187)</f>
        <v>-6.571999999999997</v>
      </c>
      <c r="Z185" s="228" t="s">
        <v>436</v>
      </c>
    </row>
    <row r="186" spans="1:26" s="27" customFormat="1" ht="36" customHeight="1">
      <c r="A186" s="229"/>
      <c r="B186" s="181" t="s">
        <v>439</v>
      </c>
      <c r="C186" s="182">
        <v>6.3</v>
      </c>
      <c r="D186" s="165">
        <v>10.37</v>
      </c>
      <c r="E186" s="165">
        <v>3.45</v>
      </c>
      <c r="F186" s="166"/>
      <c r="G186" s="165">
        <f t="shared" si="29"/>
        <v>6.919999999999999</v>
      </c>
      <c r="H186" s="166">
        <v>0</v>
      </c>
      <c r="I186" s="165">
        <f>1.05*6.3</f>
        <v>6.615</v>
      </c>
      <c r="J186" s="165">
        <f t="shared" si="31"/>
        <v>-0.3049999999999988</v>
      </c>
      <c r="K186" s="227"/>
      <c r="L186" s="228"/>
      <c r="M186" s="131"/>
      <c r="N186" s="230"/>
      <c r="O186" s="162" t="s">
        <v>439</v>
      </c>
      <c r="P186" s="163">
        <v>6.3</v>
      </c>
      <c r="Q186" s="164">
        <f>Q53+Q46+Q322+Q349+Q375</f>
        <v>5.984999999999999</v>
      </c>
      <c r="R186" s="165">
        <f t="shared" si="36"/>
        <v>16.354999999999997</v>
      </c>
      <c r="S186" s="165">
        <v>3.45</v>
      </c>
      <c r="T186" s="166"/>
      <c r="U186" s="165">
        <f t="shared" si="32"/>
        <v>12.904999999999998</v>
      </c>
      <c r="V186" s="166">
        <v>0</v>
      </c>
      <c r="W186" s="165">
        <f>1.05*6.3</f>
        <v>6.615</v>
      </c>
      <c r="X186" s="165">
        <f t="shared" si="33"/>
        <v>-6.289999999999997</v>
      </c>
      <c r="Y186" s="227"/>
      <c r="Z186" s="228"/>
    </row>
    <row r="187" spans="1:26" s="27" customFormat="1" ht="36.75" customHeight="1">
      <c r="A187" s="229"/>
      <c r="B187" s="181" t="s">
        <v>442</v>
      </c>
      <c r="C187" s="182">
        <v>6.3</v>
      </c>
      <c r="D187" s="165">
        <v>1.71</v>
      </c>
      <c r="E187" s="165">
        <v>2</v>
      </c>
      <c r="F187" s="166">
        <v>20</v>
      </c>
      <c r="G187" s="165">
        <f t="shared" si="29"/>
        <v>-0.29000000000000004</v>
      </c>
      <c r="H187" s="166">
        <v>0</v>
      </c>
      <c r="I187" s="165">
        <f>1.05*6.3</f>
        <v>6.615</v>
      </c>
      <c r="J187" s="165">
        <f t="shared" si="31"/>
        <v>6.905</v>
      </c>
      <c r="K187" s="227"/>
      <c r="L187" s="228"/>
      <c r="M187" s="131"/>
      <c r="N187" s="230"/>
      <c r="O187" s="162" t="s">
        <v>442</v>
      </c>
      <c r="P187" s="163">
        <v>6.3</v>
      </c>
      <c r="Q187" s="164">
        <f>0.089+0.075+0.02+0.015+0.038+0.335</f>
        <v>0.572</v>
      </c>
      <c r="R187" s="165">
        <f t="shared" si="36"/>
        <v>2.282</v>
      </c>
      <c r="S187" s="165">
        <v>2</v>
      </c>
      <c r="T187" s="166">
        <v>20</v>
      </c>
      <c r="U187" s="165">
        <f t="shared" si="32"/>
        <v>0.28200000000000003</v>
      </c>
      <c r="V187" s="166">
        <v>0</v>
      </c>
      <c r="W187" s="165">
        <f>1.05*6.3</f>
        <v>6.615</v>
      </c>
      <c r="X187" s="165">
        <f t="shared" si="33"/>
        <v>6.333</v>
      </c>
      <c r="Y187" s="227"/>
      <c r="Z187" s="228"/>
    </row>
    <row r="188" spans="1:26" s="24" customFormat="1" ht="36" customHeight="1">
      <c r="A188" s="221">
        <v>19</v>
      </c>
      <c r="B188" s="148" t="s">
        <v>589</v>
      </c>
      <c r="C188" s="149" t="s">
        <v>318</v>
      </c>
      <c r="D188" s="150">
        <f>D189+D190</f>
        <v>12.920000000000002</v>
      </c>
      <c r="E188" s="151">
        <f>E189+E190</f>
        <v>6.97</v>
      </c>
      <c r="F188" s="147">
        <v>120</v>
      </c>
      <c r="G188" s="151">
        <f t="shared" si="29"/>
        <v>5.950000000000002</v>
      </c>
      <c r="H188" s="147">
        <v>0</v>
      </c>
      <c r="I188" s="151">
        <f>1.05*15</f>
        <v>15.75</v>
      </c>
      <c r="J188" s="151">
        <f t="shared" si="31"/>
        <v>9.799999999999997</v>
      </c>
      <c r="K188" s="220">
        <f>MIN(J188:J190)</f>
        <v>9.799999999999997</v>
      </c>
      <c r="L188" s="218" t="s">
        <v>435</v>
      </c>
      <c r="M188" s="131"/>
      <c r="N188" s="219">
        <v>19</v>
      </c>
      <c r="O188" s="153" t="s">
        <v>589</v>
      </c>
      <c r="P188" s="154" t="s">
        <v>318</v>
      </c>
      <c r="Q188" s="155">
        <f>Q189+Q190</f>
        <v>0.8116</v>
      </c>
      <c r="R188" s="150">
        <f t="shared" si="36"/>
        <v>13.731600000000002</v>
      </c>
      <c r="S188" s="151">
        <v>6.97</v>
      </c>
      <c r="T188" s="147">
        <v>120</v>
      </c>
      <c r="U188" s="151">
        <f t="shared" si="32"/>
        <v>6.761600000000002</v>
      </c>
      <c r="V188" s="147">
        <v>0</v>
      </c>
      <c r="W188" s="151">
        <f>1.05*15</f>
        <v>15.75</v>
      </c>
      <c r="X188" s="151">
        <f t="shared" si="33"/>
        <v>8.988399999999999</v>
      </c>
      <c r="Y188" s="220">
        <f>MIN(X188:X190)</f>
        <v>8.988399999999999</v>
      </c>
      <c r="Z188" s="218" t="s">
        <v>435</v>
      </c>
    </row>
    <row r="189" spans="1:26" s="24" customFormat="1" ht="36" customHeight="1">
      <c r="A189" s="221"/>
      <c r="B189" s="148" t="s">
        <v>439</v>
      </c>
      <c r="C189" s="149" t="s">
        <v>318</v>
      </c>
      <c r="D189" s="150">
        <v>9.88</v>
      </c>
      <c r="E189" s="151">
        <v>6.6</v>
      </c>
      <c r="F189" s="147"/>
      <c r="G189" s="151">
        <f t="shared" si="29"/>
        <v>3.280000000000001</v>
      </c>
      <c r="H189" s="147">
        <v>0</v>
      </c>
      <c r="I189" s="151">
        <f>1.05*15</f>
        <v>15.75</v>
      </c>
      <c r="J189" s="151">
        <f t="shared" si="31"/>
        <v>12.469999999999999</v>
      </c>
      <c r="K189" s="220"/>
      <c r="L189" s="218"/>
      <c r="M189" s="131"/>
      <c r="N189" s="219"/>
      <c r="O189" s="153" t="s">
        <v>439</v>
      </c>
      <c r="P189" s="154" t="s">
        <v>318</v>
      </c>
      <c r="Q189" s="155">
        <f>Q313+Q319+Q353+Q377</f>
        <v>0.7136</v>
      </c>
      <c r="R189" s="150">
        <f t="shared" si="36"/>
        <v>10.5936</v>
      </c>
      <c r="S189" s="151">
        <v>6.6</v>
      </c>
      <c r="T189" s="147"/>
      <c r="U189" s="151">
        <f t="shared" si="32"/>
        <v>3.9936000000000007</v>
      </c>
      <c r="V189" s="147">
        <v>0</v>
      </c>
      <c r="W189" s="151">
        <f>1.05*15</f>
        <v>15.75</v>
      </c>
      <c r="X189" s="151">
        <f t="shared" si="33"/>
        <v>11.7564</v>
      </c>
      <c r="Y189" s="220"/>
      <c r="Z189" s="218"/>
    </row>
    <row r="190" spans="1:26" s="24" customFormat="1" ht="36.75" customHeight="1">
      <c r="A190" s="221"/>
      <c r="B190" s="148" t="s">
        <v>442</v>
      </c>
      <c r="C190" s="149" t="s">
        <v>318</v>
      </c>
      <c r="D190" s="150">
        <v>3.04</v>
      </c>
      <c r="E190" s="151">
        <v>0.37</v>
      </c>
      <c r="F190" s="147">
        <v>120</v>
      </c>
      <c r="G190" s="151">
        <f t="shared" si="29"/>
        <v>2.67</v>
      </c>
      <c r="H190" s="147">
        <v>0</v>
      </c>
      <c r="I190" s="151">
        <f>1.05*15</f>
        <v>15.75</v>
      </c>
      <c r="J190" s="151">
        <f t="shared" si="31"/>
        <v>13.08</v>
      </c>
      <c r="K190" s="220"/>
      <c r="L190" s="218"/>
      <c r="M190" s="131"/>
      <c r="N190" s="219"/>
      <c r="O190" s="153" t="s">
        <v>442</v>
      </c>
      <c r="P190" s="154" t="s">
        <v>318</v>
      </c>
      <c r="Q190" s="155">
        <v>0.098</v>
      </c>
      <c r="R190" s="150">
        <f t="shared" si="36"/>
        <v>3.138</v>
      </c>
      <c r="S190" s="151">
        <v>0.37</v>
      </c>
      <c r="T190" s="147">
        <v>120</v>
      </c>
      <c r="U190" s="151">
        <f t="shared" si="32"/>
        <v>2.768</v>
      </c>
      <c r="V190" s="147">
        <v>0</v>
      </c>
      <c r="W190" s="151">
        <f>1.05*15</f>
        <v>15.75</v>
      </c>
      <c r="X190" s="151">
        <f t="shared" si="33"/>
        <v>12.982</v>
      </c>
      <c r="Y190" s="220"/>
      <c r="Z190" s="218"/>
    </row>
    <row r="191" spans="1:26" s="24" customFormat="1" ht="36" customHeight="1">
      <c r="A191" s="221">
        <v>20</v>
      </c>
      <c r="B191" s="148" t="s">
        <v>590</v>
      </c>
      <c r="C191" s="149" t="s">
        <v>312</v>
      </c>
      <c r="D191" s="171">
        <f>D192+D193</f>
        <v>1.59</v>
      </c>
      <c r="E191" s="151">
        <v>4.5</v>
      </c>
      <c r="F191" s="147">
        <v>120</v>
      </c>
      <c r="G191" s="151">
        <f t="shared" si="29"/>
        <v>-2.91</v>
      </c>
      <c r="H191" s="147">
        <v>0</v>
      </c>
      <c r="I191" s="151">
        <f>1.05*16</f>
        <v>16.8</v>
      </c>
      <c r="J191" s="151">
        <f t="shared" si="31"/>
        <v>19.71</v>
      </c>
      <c r="K191" s="220">
        <f>MIN(J191:J193)</f>
        <v>17.89</v>
      </c>
      <c r="L191" s="218" t="s">
        <v>435</v>
      </c>
      <c r="M191" s="131"/>
      <c r="N191" s="219">
        <v>20</v>
      </c>
      <c r="O191" s="153" t="s">
        <v>590</v>
      </c>
      <c r="P191" s="154" t="s">
        <v>312</v>
      </c>
      <c r="Q191" s="155">
        <f>Q192+Q193</f>
        <v>0.28355</v>
      </c>
      <c r="R191" s="150">
        <f t="shared" si="36"/>
        <v>1.87355</v>
      </c>
      <c r="S191" s="151">
        <v>4.5</v>
      </c>
      <c r="T191" s="147">
        <v>120</v>
      </c>
      <c r="U191" s="151">
        <f t="shared" si="32"/>
        <v>-2.62645</v>
      </c>
      <c r="V191" s="147">
        <v>0</v>
      </c>
      <c r="W191" s="151">
        <f>1.05*16</f>
        <v>16.8</v>
      </c>
      <c r="X191" s="151">
        <f t="shared" si="33"/>
        <v>19.426450000000003</v>
      </c>
      <c r="Y191" s="220">
        <f>MIN(X191:X193)</f>
        <v>17.6382</v>
      </c>
      <c r="Z191" s="218" t="s">
        <v>435</v>
      </c>
    </row>
    <row r="192" spans="1:26" s="24" customFormat="1" ht="36" customHeight="1">
      <c r="A192" s="221"/>
      <c r="B192" s="148" t="s">
        <v>439</v>
      </c>
      <c r="C192" s="149">
        <v>16</v>
      </c>
      <c r="D192" s="171">
        <v>1.51</v>
      </c>
      <c r="E192" s="151">
        <v>2.6</v>
      </c>
      <c r="F192" s="147"/>
      <c r="G192" s="151">
        <f t="shared" si="29"/>
        <v>-1.09</v>
      </c>
      <c r="H192" s="147">
        <v>0</v>
      </c>
      <c r="I192" s="151">
        <f>1.05*16</f>
        <v>16.8</v>
      </c>
      <c r="J192" s="151">
        <f t="shared" si="31"/>
        <v>17.89</v>
      </c>
      <c r="K192" s="220"/>
      <c r="L192" s="218"/>
      <c r="M192" s="131"/>
      <c r="N192" s="219"/>
      <c r="O192" s="153" t="s">
        <v>439</v>
      </c>
      <c r="P192" s="154">
        <v>16</v>
      </c>
      <c r="Q192" s="155">
        <f>Q59+Q139+Q312+Q358</f>
        <v>0.2518</v>
      </c>
      <c r="R192" s="150">
        <f t="shared" si="36"/>
        <v>1.7618</v>
      </c>
      <c r="S192" s="151">
        <v>2.6</v>
      </c>
      <c r="T192" s="147"/>
      <c r="U192" s="151">
        <f t="shared" si="32"/>
        <v>-0.8382000000000001</v>
      </c>
      <c r="V192" s="147">
        <v>0</v>
      </c>
      <c r="W192" s="151">
        <f>1.05*16</f>
        <v>16.8</v>
      </c>
      <c r="X192" s="151">
        <f t="shared" si="33"/>
        <v>17.6382</v>
      </c>
      <c r="Y192" s="220"/>
      <c r="Z192" s="218"/>
    </row>
    <row r="193" spans="1:26" s="24" customFormat="1" ht="36.75" customHeight="1">
      <c r="A193" s="221"/>
      <c r="B193" s="148" t="s">
        <v>442</v>
      </c>
      <c r="C193" s="149">
        <v>16</v>
      </c>
      <c r="D193" s="171">
        <v>0.08</v>
      </c>
      <c r="E193" s="151">
        <v>1.9</v>
      </c>
      <c r="F193" s="147">
        <v>120</v>
      </c>
      <c r="G193" s="151">
        <f t="shared" si="29"/>
        <v>-1.8199999999999998</v>
      </c>
      <c r="H193" s="147">
        <v>0</v>
      </c>
      <c r="I193" s="151">
        <f>1.05*16</f>
        <v>16.8</v>
      </c>
      <c r="J193" s="151">
        <f t="shared" si="31"/>
        <v>18.62</v>
      </c>
      <c r="K193" s="220"/>
      <c r="L193" s="218"/>
      <c r="M193" s="131"/>
      <c r="N193" s="219"/>
      <c r="O193" s="153" t="s">
        <v>442</v>
      </c>
      <c r="P193" s="154">
        <v>16</v>
      </c>
      <c r="Q193" s="155">
        <f>0.004+0.02275+0.005</f>
        <v>0.03175</v>
      </c>
      <c r="R193" s="150">
        <f t="shared" si="36"/>
        <v>0.11175</v>
      </c>
      <c r="S193" s="151">
        <v>1.9</v>
      </c>
      <c r="T193" s="147">
        <v>120</v>
      </c>
      <c r="U193" s="151">
        <f t="shared" si="32"/>
        <v>-1.78825</v>
      </c>
      <c r="V193" s="147">
        <v>0</v>
      </c>
      <c r="W193" s="151">
        <f>1.05*16</f>
        <v>16.8</v>
      </c>
      <c r="X193" s="151">
        <f t="shared" si="33"/>
        <v>18.588250000000002</v>
      </c>
      <c r="Y193" s="220"/>
      <c r="Z193" s="218"/>
    </row>
    <row r="194" spans="1:26" s="27" customFormat="1" ht="36" customHeight="1">
      <c r="A194" s="221">
        <v>21</v>
      </c>
      <c r="B194" s="148" t="s">
        <v>591</v>
      </c>
      <c r="C194" s="149" t="s">
        <v>319</v>
      </c>
      <c r="D194" s="150">
        <f>D195+D196</f>
        <v>52.36</v>
      </c>
      <c r="E194" s="151">
        <f>E195+E196</f>
        <v>16.36</v>
      </c>
      <c r="F194" s="147">
        <v>120</v>
      </c>
      <c r="G194" s="151">
        <f t="shared" si="29"/>
        <v>36</v>
      </c>
      <c r="H194" s="147">
        <v>0</v>
      </c>
      <c r="I194" s="151">
        <f>1.05*40</f>
        <v>42</v>
      </c>
      <c r="J194" s="151">
        <f t="shared" si="31"/>
        <v>6</v>
      </c>
      <c r="K194" s="220">
        <f>MIN(J194:J196)</f>
        <v>6</v>
      </c>
      <c r="L194" s="224" t="s">
        <v>435</v>
      </c>
      <c r="M194" s="131"/>
      <c r="N194" s="219">
        <v>21</v>
      </c>
      <c r="O194" s="153" t="s">
        <v>591</v>
      </c>
      <c r="P194" s="154" t="s">
        <v>319</v>
      </c>
      <c r="Q194" s="155">
        <f>Q195+Q196</f>
        <v>2.745</v>
      </c>
      <c r="R194" s="150">
        <f t="shared" si="36"/>
        <v>55.105</v>
      </c>
      <c r="S194" s="151">
        <v>16.36</v>
      </c>
      <c r="T194" s="147">
        <v>120</v>
      </c>
      <c r="U194" s="151">
        <f t="shared" si="32"/>
        <v>38.745</v>
      </c>
      <c r="V194" s="147">
        <v>0</v>
      </c>
      <c r="W194" s="151">
        <f>1.05*40</f>
        <v>42</v>
      </c>
      <c r="X194" s="151">
        <f t="shared" si="33"/>
        <v>3.2550000000000026</v>
      </c>
      <c r="Y194" s="220">
        <f>MIN(X194:X196)</f>
        <v>3.2550000000000026</v>
      </c>
      <c r="Z194" s="224" t="s">
        <v>435</v>
      </c>
    </row>
    <row r="195" spans="1:26" s="27" customFormat="1" ht="36" customHeight="1">
      <c r="A195" s="221"/>
      <c r="B195" s="148" t="s">
        <v>439</v>
      </c>
      <c r="C195" s="149">
        <v>40</v>
      </c>
      <c r="D195" s="150">
        <v>28.33</v>
      </c>
      <c r="E195" s="151">
        <v>13.06</v>
      </c>
      <c r="F195" s="147">
        <v>120</v>
      </c>
      <c r="G195" s="151">
        <f t="shared" si="29"/>
        <v>15.269999999999998</v>
      </c>
      <c r="H195" s="147">
        <v>0</v>
      </c>
      <c r="I195" s="151">
        <f>1.05*40</f>
        <v>42</v>
      </c>
      <c r="J195" s="151">
        <f t="shared" si="31"/>
        <v>26.730000000000004</v>
      </c>
      <c r="K195" s="220"/>
      <c r="L195" s="224"/>
      <c r="M195" s="131"/>
      <c r="N195" s="219"/>
      <c r="O195" s="153" t="s">
        <v>439</v>
      </c>
      <c r="P195" s="154">
        <v>40</v>
      </c>
      <c r="Q195" s="155"/>
      <c r="R195" s="150">
        <f t="shared" si="36"/>
        <v>28.33</v>
      </c>
      <c r="S195" s="151">
        <v>13.06</v>
      </c>
      <c r="T195" s="147">
        <v>120</v>
      </c>
      <c r="U195" s="151">
        <f t="shared" si="32"/>
        <v>15.269999999999998</v>
      </c>
      <c r="V195" s="147">
        <v>0</v>
      </c>
      <c r="W195" s="151">
        <f>1.05*40</f>
        <v>42</v>
      </c>
      <c r="X195" s="151">
        <f t="shared" si="33"/>
        <v>26.730000000000004</v>
      </c>
      <c r="Y195" s="220"/>
      <c r="Z195" s="224"/>
    </row>
    <row r="196" spans="1:26" s="27" customFormat="1" ht="36.75" customHeight="1">
      <c r="A196" s="221"/>
      <c r="B196" s="148" t="s">
        <v>442</v>
      </c>
      <c r="C196" s="149">
        <v>40</v>
      </c>
      <c r="D196" s="150">
        <v>24.03</v>
      </c>
      <c r="E196" s="151">
        <v>3.3</v>
      </c>
      <c r="F196" s="147">
        <v>120</v>
      </c>
      <c r="G196" s="151">
        <f t="shared" si="29"/>
        <v>20.73</v>
      </c>
      <c r="H196" s="147">
        <v>0</v>
      </c>
      <c r="I196" s="151">
        <f>1.05*40</f>
        <v>42</v>
      </c>
      <c r="J196" s="151">
        <f t="shared" si="31"/>
        <v>21.27</v>
      </c>
      <c r="K196" s="220"/>
      <c r="L196" s="224"/>
      <c r="M196" s="131"/>
      <c r="N196" s="219"/>
      <c r="O196" s="153" t="s">
        <v>442</v>
      </c>
      <c r="P196" s="154">
        <v>40</v>
      </c>
      <c r="Q196" s="155">
        <f>2.67+0.075</f>
        <v>2.745</v>
      </c>
      <c r="R196" s="150">
        <f t="shared" si="36"/>
        <v>26.775000000000002</v>
      </c>
      <c r="S196" s="151">
        <v>3.3</v>
      </c>
      <c r="T196" s="147">
        <v>120</v>
      </c>
      <c r="U196" s="151">
        <f t="shared" si="32"/>
        <v>23.475</v>
      </c>
      <c r="V196" s="147">
        <v>0</v>
      </c>
      <c r="W196" s="151">
        <f>1.05*40</f>
        <v>42</v>
      </c>
      <c r="X196" s="151">
        <f t="shared" si="33"/>
        <v>18.525</v>
      </c>
      <c r="Y196" s="220"/>
      <c r="Z196" s="224"/>
    </row>
    <row r="197" spans="1:26" s="24" customFormat="1" ht="36" customHeight="1">
      <c r="A197" s="221">
        <v>22</v>
      </c>
      <c r="B197" s="148" t="s">
        <v>592</v>
      </c>
      <c r="C197" s="149" t="s">
        <v>312</v>
      </c>
      <c r="D197" s="150">
        <f>D198+D199</f>
        <v>3.7</v>
      </c>
      <c r="E197" s="151">
        <v>1.2</v>
      </c>
      <c r="F197" s="147">
        <v>120</v>
      </c>
      <c r="G197" s="151">
        <f t="shared" si="29"/>
        <v>2.5</v>
      </c>
      <c r="H197" s="147">
        <v>0</v>
      </c>
      <c r="I197" s="151">
        <f>1.05*16</f>
        <v>16.8</v>
      </c>
      <c r="J197" s="151">
        <f t="shared" si="31"/>
        <v>14.3</v>
      </c>
      <c r="K197" s="220">
        <f>MIN(J197:J199)</f>
        <v>14.3</v>
      </c>
      <c r="L197" s="218" t="s">
        <v>435</v>
      </c>
      <c r="M197" s="131"/>
      <c r="N197" s="219">
        <v>22</v>
      </c>
      <c r="O197" s="153" t="s">
        <v>592</v>
      </c>
      <c r="P197" s="154" t="s">
        <v>312</v>
      </c>
      <c r="Q197" s="155">
        <f>Q198+Q199</f>
        <v>1.091</v>
      </c>
      <c r="R197" s="150">
        <f t="shared" si="36"/>
        <v>4.791</v>
      </c>
      <c r="S197" s="151">
        <v>1.2</v>
      </c>
      <c r="T197" s="147">
        <v>120</v>
      </c>
      <c r="U197" s="151">
        <f t="shared" si="32"/>
        <v>3.591</v>
      </c>
      <c r="V197" s="147">
        <v>0</v>
      </c>
      <c r="W197" s="151">
        <f>1.05*16</f>
        <v>16.8</v>
      </c>
      <c r="X197" s="151">
        <f t="shared" si="33"/>
        <v>13.209</v>
      </c>
      <c r="Y197" s="220">
        <f>MIN(X197:X199)</f>
        <v>13.209</v>
      </c>
      <c r="Z197" s="218" t="s">
        <v>435</v>
      </c>
    </row>
    <row r="198" spans="1:26" s="24" customFormat="1" ht="36" customHeight="1">
      <c r="A198" s="221"/>
      <c r="B198" s="148" t="s">
        <v>439</v>
      </c>
      <c r="C198" s="149">
        <v>16</v>
      </c>
      <c r="D198" s="150">
        <v>0</v>
      </c>
      <c r="E198" s="151"/>
      <c r="F198" s="147"/>
      <c r="G198" s="151">
        <f t="shared" si="29"/>
        <v>0</v>
      </c>
      <c r="H198" s="147">
        <v>0</v>
      </c>
      <c r="I198" s="151">
        <f>1.05*16</f>
        <v>16.8</v>
      </c>
      <c r="J198" s="151">
        <f t="shared" si="31"/>
        <v>16.8</v>
      </c>
      <c r="K198" s="220"/>
      <c r="L198" s="218"/>
      <c r="M198" s="131"/>
      <c r="N198" s="219"/>
      <c r="O198" s="153" t="s">
        <v>439</v>
      </c>
      <c r="P198" s="154">
        <v>16</v>
      </c>
      <c r="Q198" s="155"/>
      <c r="R198" s="150">
        <f t="shared" si="36"/>
        <v>0</v>
      </c>
      <c r="S198" s="151"/>
      <c r="T198" s="147"/>
      <c r="U198" s="151">
        <f t="shared" si="32"/>
        <v>0</v>
      </c>
      <c r="V198" s="147">
        <v>0</v>
      </c>
      <c r="W198" s="151">
        <f>1.05*16</f>
        <v>16.8</v>
      </c>
      <c r="X198" s="151">
        <f t="shared" si="33"/>
        <v>16.8</v>
      </c>
      <c r="Y198" s="220"/>
      <c r="Z198" s="218"/>
    </row>
    <row r="199" spans="1:26" s="24" customFormat="1" ht="36.75" customHeight="1">
      <c r="A199" s="221"/>
      <c r="B199" s="148" t="s">
        <v>442</v>
      </c>
      <c r="C199" s="149">
        <v>16</v>
      </c>
      <c r="D199" s="150">
        <v>3.7</v>
      </c>
      <c r="E199" s="151">
        <v>1.2</v>
      </c>
      <c r="F199" s="147">
        <f>F197</f>
        <v>120</v>
      </c>
      <c r="G199" s="151">
        <f t="shared" si="29"/>
        <v>2.5</v>
      </c>
      <c r="H199" s="147">
        <v>0</v>
      </c>
      <c r="I199" s="151">
        <f>1.05*16</f>
        <v>16.8</v>
      </c>
      <c r="J199" s="151">
        <f t="shared" si="31"/>
        <v>14.3</v>
      </c>
      <c r="K199" s="220"/>
      <c r="L199" s="218"/>
      <c r="M199" s="131"/>
      <c r="N199" s="219"/>
      <c r="O199" s="153" t="s">
        <v>442</v>
      </c>
      <c r="P199" s="154">
        <v>16</v>
      </c>
      <c r="Q199" s="155">
        <f>0.421+0.06+0.008+0.06+0.188+0.04+0.066+0.183+0.065</f>
        <v>1.091</v>
      </c>
      <c r="R199" s="150">
        <f t="shared" si="36"/>
        <v>4.791</v>
      </c>
      <c r="S199" s="151">
        <v>1.2</v>
      </c>
      <c r="T199" s="147">
        <v>120</v>
      </c>
      <c r="U199" s="151">
        <f t="shared" si="32"/>
        <v>3.591</v>
      </c>
      <c r="V199" s="147">
        <v>0</v>
      </c>
      <c r="W199" s="151">
        <f>1.05*16</f>
        <v>16.8</v>
      </c>
      <c r="X199" s="151">
        <f t="shared" si="33"/>
        <v>13.209</v>
      </c>
      <c r="Y199" s="220"/>
      <c r="Z199" s="218"/>
    </row>
    <row r="200" spans="1:26" s="24" customFormat="1" ht="15">
      <c r="A200" s="147">
        <v>23</v>
      </c>
      <c r="B200" s="148" t="s">
        <v>593</v>
      </c>
      <c r="C200" s="149" t="s">
        <v>319</v>
      </c>
      <c r="D200" s="150">
        <v>6.37</v>
      </c>
      <c r="E200" s="151">
        <v>0</v>
      </c>
      <c r="F200" s="147">
        <v>0</v>
      </c>
      <c r="G200" s="151">
        <f t="shared" si="29"/>
        <v>6.37</v>
      </c>
      <c r="H200" s="147">
        <v>0</v>
      </c>
      <c r="I200" s="151">
        <f>1.05*40</f>
        <v>42</v>
      </c>
      <c r="J200" s="151">
        <f t="shared" si="31"/>
        <v>35.63</v>
      </c>
      <c r="K200" s="151">
        <f>J200</f>
        <v>35.63</v>
      </c>
      <c r="L200" s="152" t="s">
        <v>435</v>
      </c>
      <c r="M200" s="131"/>
      <c r="N200" s="138">
        <v>23</v>
      </c>
      <c r="O200" s="153" t="s">
        <v>593</v>
      </c>
      <c r="P200" s="154" t="s">
        <v>319</v>
      </c>
      <c r="Q200" s="155"/>
      <c r="R200" s="150">
        <f t="shared" si="36"/>
        <v>6.37</v>
      </c>
      <c r="S200" s="151">
        <v>0</v>
      </c>
      <c r="T200" s="147">
        <v>0</v>
      </c>
      <c r="U200" s="151">
        <f t="shared" si="32"/>
        <v>6.37</v>
      </c>
      <c r="V200" s="147">
        <v>0</v>
      </c>
      <c r="W200" s="151">
        <f>1.05*40</f>
        <v>42</v>
      </c>
      <c r="X200" s="151">
        <f t="shared" si="33"/>
        <v>35.63</v>
      </c>
      <c r="Y200" s="151">
        <f>X200</f>
        <v>35.63</v>
      </c>
      <c r="Z200" s="152" t="s">
        <v>435</v>
      </c>
    </row>
    <row r="201" spans="1:26" s="24" customFormat="1" ht="36" customHeight="1">
      <c r="A201" s="221">
        <v>24</v>
      </c>
      <c r="B201" s="148" t="s">
        <v>594</v>
      </c>
      <c r="C201" s="149" t="s">
        <v>320</v>
      </c>
      <c r="D201" s="150">
        <f>D202+D203</f>
        <v>10.280000000000001</v>
      </c>
      <c r="E201" s="151">
        <v>8</v>
      </c>
      <c r="F201" s="147">
        <v>120</v>
      </c>
      <c r="G201" s="151">
        <f t="shared" si="29"/>
        <v>2.280000000000001</v>
      </c>
      <c r="H201" s="147">
        <v>0</v>
      </c>
      <c r="I201" s="151">
        <f aca="true" t="shared" si="37" ref="I201:I207">1.05*10</f>
        <v>10.5</v>
      </c>
      <c r="J201" s="151">
        <f t="shared" si="31"/>
        <v>8.219999999999999</v>
      </c>
      <c r="K201" s="220">
        <f>MIN(J201:J203)</f>
        <v>8.18</v>
      </c>
      <c r="L201" s="218" t="s">
        <v>435</v>
      </c>
      <c r="M201" s="131"/>
      <c r="N201" s="219">
        <v>24</v>
      </c>
      <c r="O201" s="153" t="s">
        <v>594</v>
      </c>
      <c r="P201" s="154" t="s">
        <v>320</v>
      </c>
      <c r="Q201" s="155">
        <f>Q202+Q203</f>
        <v>1.73458</v>
      </c>
      <c r="R201" s="150">
        <f t="shared" si="36"/>
        <v>12.01458</v>
      </c>
      <c r="S201" s="151">
        <v>8</v>
      </c>
      <c r="T201" s="147">
        <v>120</v>
      </c>
      <c r="U201" s="151">
        <f t="shared" si="32"/>
        <v>4.0145800000000005</v>
      </c>
      <c r="V201" s="147">
        <v>0</v>
      </c>
      <c r="W201" s="151">
        <f aca="true" t="shared" si="38" ref="W201:W207">1.05*10</f>
        <v>10.5</v>
      </c>
      <c r="X201" s="151">
        <f t="shared" si="33"/>
        <v>6.4854199999999995</v>
      </c>
      <c r="Y201" s="220">
        <f>MIN(X201:X203)</f>
        <v>6.4854199999999995</v>
      </c>
      <c r="Z201" s="218" t="s">
        <v>435</v>
      </c>
    </row>
    <row r="202" spans="1:26" s="24" customFormat="1" ht="36" customHeight="1">
      <c r="A202" s="221"/>
      <c r="B202" s="148" t="s">
        <v>439</v>
      </c>
      <c r="C202" s="149" t="s">
        <v>320</v>
      </c>
      <c r="D202" s="150">
        <v>8.22</v>
      </c>
      <c r="E202" s="151">
        <v>5.9</v>
      </c>
      <c r="F202" s="147"/>
      <c r="G202" s="151">
        <f t="shared" si="29"/>
        <v>2.3200000000000003</v>
      </c>
      <c r="H202" s="147">
        <v>0</v>
      </c>
      <c r="I202" s="151">
        <f t="shared" si="37"/>
        <v>10.5</v>
      </c>
      <c r="J202" s="151">
        <f t="shared" si="31"/>
        <v>8.18</v>
      </c>
      <c r="K202" s="220"/>
      <c r="L202" s="218"/>
      <c r="M202" s="131"/>
      <c r="N202" s="219"/>
      <c r="O202" s="153" t="s">
        <v>439</v>
      </c>
      <c r="P202" s="154" t="s">
        <v>320</v>
      </c>
      <c r="Q202" s="155">
        <f>Q35+Q52+Q60+Q95+Q335+Q346+Q373</f>
        <v>0.7050000000000001</v>
      </c>
      <c r="R202" s="150">
        <f t="shared" si="36"/>
        <v>8.925</v>
      </c>
      <c r="S202" s="151">
        <v>5.9</v>
      </c>
      <c r="T202" s="147"/>
      <c r="U202" s="151">
        <f t="shared" si="32"/>
        <v>3.0250000000000004</v>
      </c>
      <c r="V202" s="147">
        <v>0</v>
      </c>
      <c r="W202" s="151">
        <f t="shared" si="38"/>
        <v>10.5</v>
      </c>
      <c r="X202" s="151">
        <f t="shared" si="33"/>
        <v>7.475</v>
      </c>
      <c r="Y202" s="220"/>
      <c r="Z202" s="218"/>
    </row>
    <row r="203" spans="1:26" s="24" customFormat="1" ht="36.75" customHeight="1">
      <c r="A203" s="221"/>
      <c r="B203" s="148" t="s">
        <v>442</v>
      </c>
      <c r="C203" s="149" t="s">
        <v>320</v>
      </c>
      <c r="D203" s="150">
        <v>2.06</v>
      </c>
      <c r="E203" s="151">
        <v>2.1</v>
      </c>
      <c r="F203" s="147"/>
      <c r="G203" s="151">
        <f t="shared" si="29"/>
        <v>-0.040000000000000036</v>
      </c>
      <c r="H203" s="147">
        <v>0</v>
      </c>
      <c r="I203" s="151">
        <f t="shared" si="37"/>
        <v>10.5</v>
      </c>
      <c r="J203" s="151">
        <f t="shared" si="31"/>
        <v>10.54</v>
      </c>
      <c r="K203" s="220"/>
      <c r="L203" s="218"/>
      <c r="M203" s="131"/>
      <c r="N203" s="219"/>
      <c r="O203" s="153" t="s">
        <v>442</v>
      </c>
      <c r="P203" s="154" t="s">
        <v>320</v>
      </c>
      <c r="Q203" s="155">
        <f>0.989+0.04058</f>
        <v>1.02958</v>
      </c>
      <c r="R203" s="150">
        <f t="shared" si="36"/>
        <v>3.0895799999999998</v>
      </c>
      <c r="S203" s="151">
        <v>2.1</v>
      </c>
      <c r="T203" s="147"/>
      <c r="U203" s="151">
        <f t="shared" si="32"/>
        <v>0.9895799999999997</v>
      </c>
      <c r="V203" s="147">
        <v>0</v>
      </c>
      <c r="W203" s="151">
        <f t="shared" si="38"/>
        <v>10.5</v>
      </c>
      <c r="X203" s="151">
        <f t="shared" si="33"/>
        <v>9.51042</v>
      </c>
      <c r="Y203" s="220"/>
      <c r="Z203" s="218"/>
    </row>
    <row r="204" spans="1:26" s="24" customFormat="1" ht="15">
      <c r="A204" s="147">
        <v>25</v>
      </c>
      <c r="B204" s="148" t="s">
        <v>595</v>
      </c>
      <c r="C204" s="149" t="s">
        <v>321</v>
      </c>
      <c r="D204" s="150">
        <v>10.27</v>
      </c>
      <c r="E204" s="151">
        <v>4.1</v>
      </c>
      <c r="F204" s="147">
        <v>0</v>
      </c>
      <c r="G204" s="151">
        <f t="shared" si="29"/>
        <v>6.17</v>
      </c>
      <c r="H204" s="147">
        <v>0</v>
      </c>
      <c r="I204" s="151">
        <f t="shared" si="37"/>
        <v>10.5</v>
      </c>
      <c r="J204" s="151">
        <f t="shared" si="31"/>
        <v>4.33</v>
      </c>
      <c r="K204" s="151">
        <f>J204</f>
        <v>4.33</v>
      </c>
      <c r="L204" s="152" t="s">
        <v>435</v>
      </c>
      <c r="M204" s="131"/>
      <c r="N204" s="138">
        <v>25</v>
      </c>
      <c r="O204" s="153" t="s">
        <v>595</v>
      </c>
      <c r="P204" s="154" t="s">
        <v>321</v>
      </c>
      <c r="Q204" s="155">
        <f>3.621+0.018+0.0066+0.013+0.003+0.003621+0.007115</f>
        <v>3.672336</v>
      </c>
      <c r="R204" s="150">
        <f t="shared" si="36"/>
        <v>13.942336</v>
      </c>
      <c r="S204" s="151">
        <v>4.1</v>
      </c>
      <c r="T204" s="147">
        <v>0</v>
      </c>
      <c r="U204" s="151">
        <f t="shared" si="32"/>
        <v>9.842336</v>
      </c>
      <c r="V204" s="147">
        <v>0</v>
      </c>
      <c r="W204" s="151">
        <f t="shared" si="38"/>
        <v>10.5</v>
      </c>
      <c r="X204" s="151">
        <f t="shared" si="33"/>
        <v>0.6576640000000005</v>
      </c>
      <c r="Y204" s="151">
        <f>X204</f>
        <v>0.6576640000000005</v>
      </c>
      <c r="Z204" s="152" t="s">
        <v>435</v>
      </c>
    </row>
    <row r="205" spans="1:26" s="24" customFormat="1" ht="36" customHeight="1">
      <c r="A205" s="221">
        <v>26</v>
      </c>
      <c r="B205" s="148" t="s">
        <v>596</v>
      </c>
      <c r="C205" s="149" t="s">
        <v>315</v>
      </c>
      <c r="D205" s="150">
        <f>D206+D207</f>
        <v>9.69</v>
      </c>
      <c r="E205" s="151">
        <f>E206+E207</f>
        <v>6.63</v>
      </c>
      <c r="F205" s="147">
        <v>10</v>
      </c>
      <c r="G205" s="151">
        <f t="shared" si="29"/>
        <v>3.0599999999999996</v>
      </c>
      <c r="H205" s="147">
        <v>0</v>
      </c>
      <c r="I205" s="151">
        <f t="shared" si="37"/>
        <v>10.5</v>
      </c>
      <c r="J205" s="151">
        <f t="shared" si="31"/>
        <v>7.44</v>
      </c>
      <c r="K205" s="220">
        <f>MIN(J205:J207)</f>
        <v>5.94</v>
      </c>
      <c r="L205" s="218" t="s">
        <v>435</v>
      </c>
      <c r="M205" s="131"/>
      <c r="N205" s="219">
        <v>26</v>
      </c>
      <c r="O205" s="153" t="s">
        <v>596</v>
      </c>
      <c r="P205" s="154" t="s">
        <v>315</v>
      </c>
      <c r="Q205" s="155">
        <f>Q206+Q207</f>
        <v>2.92296</v>
      </c>
      <c r="R205" s="150">
        <f t="shared" si="36"/>
        <v>12.61296</v>
      </c>
      <c r="S205" s="151">
        <v>6.63</v>
      </c>
      <c r="T205" s="147">
        <v>10</v>
      </c>
      <c r="U205" s="151">
        <f t="shared" si="32"/>
        <v>5.982959999999999</v>
      </c>
      <c r="V205" s="147">
        <v>0</v>
      </c>
      <c r="W205" s="151">
        <f t="shared" si="38"/>
        <v>10.5</v>
      </c>
      <c r="X205" s="151">
        <f t="shared" si="33"/>
        <v>4.517040000000001</v>
      </c>
      <c r="Y205" s="220">
        <f>MIN(X205:X207)</f>
        <v>4.1463600000000005</v>
      </c>
      <c r="Z205" s="218" t="s">
        <v>435</v>
      </c>
    </row>
    <row r="206" spans="1:26" s="24" customFormat="1" ht="36" customHeight="1">
      <c r="A206" s="221"/>
      <c r="B206" s="148" t="s">
        <v>439</v>
      </c>
      <c r="C206" s="149">
        <v>10</v>
      </c>
      <c r="D206" s="150">
        <v>4.56</v>
      </c>
      <c r="E206" s="151">
        <v>6.06</v>
      </c>
      <c r="F206" s="147"/>
      <c r="G206" s="151">
        <f t="shared" si="29"/>
        <v>-1.5</v>
      </c>
      <c r="H206" s="147">
        <v>0</v>
      </c>
      <c r="I206" s="151">
        <f t="shared" si="37"/>
        <v>10.5</v>
      </c>
      <c r="J206" s="151">
        <f t="shared" si="31"/>
        <v>12</v>
      </c>
      <c r="K206" s="220"/>
      <c r="L206" s="218"/>
      <c r="M206" s="131"/>
      <c r="N206" s="219"/>
      <c r="O206" s="153" t="s">
        <v>439</v>
      </c>
      <c r="P206" s="154">
        <v>10</v>
      </c>
      <c r="Q206" s="155">
        <f>Q66+Q100+Q102+Q120+Q141+Q326+Q368+Q392</f>
        <v>1.1293199999999999</v>
      </c>
      <c r="R206" s="150">
        <f t="shared" si="36"/>
        <v>5.6893199999999995</v>
      </c>
      <c r="S206" s="151">
        <v>6.06</v>
      </c>
      <c r="T206" s="147"/>
      <c r="U206" s="151">
        <f t="shared" si="32"/>
        <v>-0.3706800000000001</v>
      </c>
      <c r="V206" s="147">
        <v>0</v>
      </c>
      <c r="W206" s="151">
        <f t="shared" si="38"/>
        <v>10.5</v>
      </c>
      <c r="X206" s="151">
        <f t="shared" si="33"/>
        <v>10.87068</v>
      </c>
      <c r="Y206" s="220"/>
      <c r="Z206" s="218"/>
    </row>
    <row r="207" spans="1:26" s="24" customFormat="1" ht="36.75" customHeight="1">
      <c r="A207" s="221"/>
      <c r="B207" s="148" t="s">
        <v>442</v>
      </c>
      <c r="C207" s="149">
        <v>10</v>
      </c>
      <c r="D207" s="150">
        <v>5.13</v>
      </c>
      <c r="E207" s="151">
        <v>0.57</v>
      </c>
      <c r="F207" s="147">
        <v>120</v>
      </c>
      <c r="G207" s="151">
        <f t="shared" si="29"/>
        <v>4.56</v>
      </c>
      <c r="H207" s="147">
        <v>0</v>
      </c>
      <c r="I207" s="151">
        <f t="shared" si="37"/>
        <v>10.5</v>
      </c>
      <c r="J207" s="151">
        <f t="shared" si="31"/>
        <v>5.94</v>
      </c>
      <c r="K207" s="220"/>
      <c r="L207" s="218"/>
      <c r="M207" s="131"/>
      <c r="N207" s="219"/>
      <c r="O207" s="153" t="s">
        <v>442</v>
      </c>
      <c r="P207" s="154">
        <v>10</v>
      </c>
      <c r="Q207" s="155">
        <f>1.492+0.0775+0.0305+0.02432+0.013+0.042+0.03582+0.0445+0.034</f>
        <v>1.7936399999999997</v>
      </c>
      <c r="R207" s="150">
        <f t="shared" si="36"/>
        <v>6.92364</v>
      </c>
      <c r="S207" s="151">
        <v>0.57</v>
      </c>
      <c r="T207" s="147">
        <v>120</v>
      </c>
      <c r="U207" s="151">
        <f t="shared" si="32"/>
        <v>6.3536399999999995</v>
      </c>
      <c r="V207" s="147">
        <v>0</v>
      </c>
      <c r="W207" s="151">
        <f t="shared" si="38"/>
        <v>10.5</v>
      </c>
      <c r="X207" s="151">
        <f t="shared" si="33"/>
        <v>4.1463600000000005</v>
      </c>
      <c r="Y207" s="220"/>
      <c r="Z207" s="218"/>
    </row>
    <row r="208" spans="1:26" s="24" customFormat="1" ht="15">
      <c r="A208" s="147">
        <v>27</v>
      </c>
      <c r="B208" s="148" t="s">
        <v>597</v>
      </c>
      <c r="C208" s="149" t="s">
        <v>319</v>
      </c>
      <c r="D208" s="150">
        <v>2.34</v>
      </c>
      <c r="E208" s="151">
        <v>0</v>
      </c>
      <c r="F208" s="147">
        <v>0</v>
      </c>
      <c r="G208" s="151">
        <f t="shared" si="29"/>
        <v>2.34</v>
      </c>
      <c r="H208" s="147">
        <v>0</v>
      </c>
      <c r="I208" s="151">
        <v>42</v>
      </c>
      <c r="J208" s="151">
        <f t="shared" si="31"/>
        <v>39.66</v>
      </c>
      <c r="K208" s="151">
        <f>J208</f>
        <v>39.66</v>
      </c>
      <c r="L208" s="152" t="s">
        <v>435</v>
      </c>
      <c r="M208" s="131"/>
      <c r="N208" s="138">
        <v>27</v>
      </c>
      <c r="O208" s="153" t="s">
        <v>597</v>
      </c>
      <c r="P208" s="154" t="s">
        <v>319</v>
      </c>
      <c r="Q208" s="155">
        <f>0.9+2</f>
        <v>2.9</v>
      </c>
      <c r="R208" s="150">
        <f t="shared" si="36"/>
        <v>5.24</v>
      </c>
      <c r="S208" s="151">
        <v>0</v>
      </c>
      <c r="T208" s="147">
        <v>0</v>
      </c>
      <c r="U208" s="151">
        <f t="shared" si="32"/>
        <v>5.24</v>
      </c>
      <c r="V208" s="147">
        <v>0</v>
      </c>
      <c r="W208" s="151">
        <v>42</v>
      </c>
      <c r="X208" s="151">
        <f t="shared" si="33"/>
        <v>36.76</v>
      </c>
      <c r="Y208" s="151">
        <f>X208</f>
        <v>36.76</v>
      </c>
      <c r="Z208" s="152" t="s">
        <v>435</v>
      </c>
    </row>
    <row r="209" spans="1:26" s="24" customFormat="1" ht="36" customHeight="1">
      <c r="A209" s="221">
        <v>28</v>
      </c>
      <c r="B209" s="148" t="s">
        <v>598</v>
      </c>
      <c r="C209" s="149" t="s">
        <v>316</v>
      </c>
      <c r="D209" s="150">
        <f>D210+D211</f>
        <v>13.76</v>
      </c>
      <c r="E209" s="151">
        <v>4</v>
      </c>
      <c r="F209" s="147">
        <v>120</v>
      </c>
      <c r="G209" s="151">
        <f t="shared" si="29"/>
        <v>9.76</v>
      </c>
      <c r="H209" s="147">
        <v>0</v>
      </c>
      <c r="I209" s="151">
        <f>1.05*25</f>
        <v>26.25</v>
      </c>
      <c r="J209" s="151">
        <f t="shared" si="31"/>
        <v>16.490000000000002</v>
      </c>
      <c r="K209" s="220">
        <f>MIN(J209:J211)</f>
        <v>16.490000000000002</v>
      </c>
      <c r="L209" s="218" t="s">
        <v>435</v>
      </c>
      <c r="M209" s="131"/>
      <c r="N209" s="219">
        <v>28</v>
      </c>
      <c r="O209" s="153" t="s">
        <v>598</v>
      </c>
      <c r="P209" s="154" t="s">
        <v>316</v>
      </c>
      <c r="Q209" s="155">
        <v>0.013</v>
      </c>
      <c r="R209" s="150">
        <f t="shared" si="36"/>
        <v>13.773</v>
      </c>
      <c r="S209" s="151">
        <v>4</v>
      </c>
      <c r="T209" s="147">
        <v>120</v>
      </c>
      <c r="U209" s="151">
        <f t="shared" si="32"/>
        <v>9.773</v>
      </c>
      <c r="V209" s="147">
        <v>0</v>
      </c>
      <c r="W209" s="151">
        <f>1.05*25</f>
        <v>26.25</v>
      </c>
      <c r="X209" s="151">
        <f t="shared" si="33"/>
        <v>16.477</v>
      </c>
      <c r="Y209" s="220">
        <f>MIN(X209:X211)</f>
        <v>16.477</v>
      </c>
      <c r="Z209" s="218" t="s">
        <v>435</v>
      </c>
    </row>
    <row r="210" spans="1:26" s="24" customFormat="1" ht="36" customHeight="1">
      <c r="A210" s="221"/>
      <c r="B210" s="148" t="s">
        <v>439</v>
      </c>
      <c r="C210" s="149">
        <v>25</v>
      </c>
      <c r="D210" s="150">
        <v>2.07</v>
      </c>
      <c r="E210" s="151"/>
      <c r="F210" s="147"/>
      <c r="G210" s="151">
        <f t="shared" si="29"/>
        <v>2.07</v>
      </c>
      <c r="H210" s="147">
        <v>0</v>
      </c>
      <c r="I210" s="151">
        <f>1.05*25</f>
        <v>26.25</v>
      </c>
      <c r="J210" s="151">
        <f t="shared" si="31"/>
        <v>24.18</v>
      </c>
      <c r="K210" s="220"/>
      <c r="L210" s="218"/>
      <c r="M210" s="131"/>
      <c r="N210" s="219"/>
      <c r="O210" s="153" t="s">
        <v>439</v>
      </c>
      <c r="P210" s="154">
        <v>25</v>
      </c>
      <c r="Q210" s="155">
        <v>0.663</v>
      </c>
      <c r="R210" s="150">
        <f t="shared" si="36"/>
        <v>2.7329999999999997</v>
      </c>
      <c r="S210" s="151"/>
      <c r="T210" s="147"/>
      <c r="U210" s="151">
        <f t="shared" si="32"/>
        <v>2.7329999999999997</v>
      </c>
      <c r="V210" s="147">
        <v>0</v>
      </c>
      <c r="W210" s="151">
        <f>1.05*25</f>
        <v>26.25</v>
      </c>
      <c r="X210" s="151">
        <f t="shared" si="33"/>
        <v>23.517</v>
      </c>
      <c r="Y210" s="220"/>
      <c r="Z210" s="218"/>
    </row>
    <row r="211" spans="1:26" s="24" customFormat="1" ht="36.75" customHeight="1">
      <c r="A211" s="221"/>
      <c r="B211" s="148" t="s">
        <v>442</v>
      </c>
      <c r="C211" s="149">
        <v>25</v>
      </c>
      <c r="D211" s="150">
        <v>11.69</v>
      </c>
      <c r="E211" s="151">
        <v>4</v>
      </c>
      <c r="F211" s="147">
        <v>120</v>
      </c>
      <c r="G211" s="151">
        <f t="shared" si="29"/>
        <v>7.6899999999999995</v>
      </c>
      <c r="H211" s="147">
        <v>0</v>
      </c>
      <c r="I211" s="151">
        <f>1.05*25</f>
        <v>26.25</v>
      </c>
      <c r="J211" s="151">
        <f t="shared" si="31"/>
        <v>18.560000000000002</v>
      </c>
      <c r="K211" s="220"/>
      <c r="L211" s="218"/>
      <c r="M211" s="131"/>
      <c r="N211" s="219"/>
      <c r="O211" s="153" t="s">
        <v>442</v>
      </c>
      <c r="P211" s="154">
        <v>25</v>
      </c>
      <c r="Q211" s="155">
        <f>0.375+0.03+0.009+0.03+0.084+0.135+0.085+0.08</f>
        <v>0.828</v>
      </c>
      <c r="R211" s="150">
        <f t="shared" si="36"/>
        <v>12.517999999999999</v>
      </c>
      <c r="S211" s="151">
        <v>4</v>
      </c>
      <c r="T211" s="147">
        <v>120</v>
      </c>
      <c r="U211" s="151">
        <f t="shared" si="32"/>
        <v>8.517999999999999</v>
      </c>
      <c r="V211" s="147">
        <v>0</v>
      </c>
      <c r="W211" s="151">
        <f>1.05*25</f>
        <v>26.25</v>
      </c>
      <c r="X211" s="151">
        <f t="shared" si="33"/>
        <v>17.732</v>
      </c>
      <c r="Y211" s="220"/>
      <c r="Z211" s="218"/>
    </row>
    <row r="212" spans="1:26" s="2" customFormat="1" ht="36" customHeight="1">
      <c r="A212" s="225">
        <v>29</v>
      </c>
      <c r="B212" s="148" t="s">
        <v>599</v>
      </c>
      <c r="C212" s="149" t="s">
        <v>312</v>
      </c>
      <c r="D212" s="184">
        <f>D213+D214</f>
        <v>8.94</v>
      </c>
      <c r="E212" s="185">
        <v>10.6</v>
      </c>
      <c r="F212" s="183">
        <v>120</v>
      </c>
      <c r="G212" s="185">
        <f t="shared" si="29"/>
        <v>-1.6600000000000001</v>
      </c>
      <c r="H212" s="183">
        <v>0</v>
      </c>
      <c r="I212" s="185">
        <f>1.05*16</f>
        <v>16.8</v>
      </c>
      <c r="J212" s="151">
        <f t="shared" si="31"/>
        <v>18.46</v>
      </c>
      <c r="K212" s="220">
        <f>MIN(J212:J214)</f>
        <v>17.42</v>
      </c>
      <c r="L212" s="218" t="s">
        <v>435</v>
      </c>
      <c r="M212" s="186"/>
      <c r="N212" s="226">
        <v>29</v>
      </c>
      <c r="O212" s="153" t="s">
        <v>599</v>
      </c>
      <c r="P212" s="154" t="s">
        <v>312</v>
      </c>
      <c r="Q212" s="155">
        <f>Q213+Q214</f>
        <v>0.16300000000000003</v>
      </c>
      <c r="R212" s="150">
        <f t="shared" si="36"/>
        <v>9.103</v>
      </c>
      <c r="S212" s="185">
        <v>10.6</v>
      </c>
      <c r="T212" s="183">
        <v>120</v>
      </c>
      <c r="U212" s="151">
        <f t="shared" si="32"/>
        <v>-1.4969999999999999</v>
      </c>
      <c r="V212" s="183">
        <v>0</v>
      </c>
      <c r="W212" s="185">
        <f>1.05*16</f>
        <v>16.8</v>
      </c>
      <c r="X212" s="151">
        <f t="shared" si="33"/>
        <v>18.297</v>
      </c>
      <c r="Y212" s="220">
        <f>MIN(X212:X214)</f>
        <v>17.42</v>
      </c>
      <c r="Z212" s="218" t="s">
        <v>435</v>
      </c>
    </row>
    <row r="213" spans="1:26" s="2" customFormat="1" ht="36" customHeight="1">
      <c r="A213" s="225"/>
      <c r="B213" s="148" t="s">
        <v>439</v>
      </c>
      <c r="C213" s="149">
        <v>16</v>
      </c>
      <c r="D213" s="184">
        <v>4.26</v>
      </c>
      <c r="E213" s="185">
        <v>5.3</v>
      </c>
      <c r="F213" s="183"/>
      <c r="G213" s="185">
        <f t="shared" si="29"/>
        <v>-1.04</v>
      </c>
      <c r="H213" s="183">
        <v>0</v>
      </c>
      <c r="I213" s="185">
        <f>1.05*16</f>
        <v>16.8</v>
      </c>
      <c r="J213" s="151">
        <f t="shared" si="31"/>
        <v>17.84</v>
      </c>
      <c r="K213" s="220"/>
      <c r="L213" s="218"/>
      <c r="M213" s="186"/>
      <c r="N213" s="226"/>
      <c r="O213" s="153" t="s">
        <v>439</v>
      </c>
      <c r="P213" s="154">
        <v>16</v>
      </c>
      <c r="Q213" s="155">
        <f>Q341+Q385</f>
        <v>0.16300000000000003</v>
      </c>
      <c r="R213" s="150">
        <f t="shared" si="36"/>
        <v>4.423</v>
      </c>
      <c r="S213" s="185">
        <v>5.3</v>
      </c>
      <c r="T213" s="183"/>
      <c r="U213" s="151">
        <f t="shared" si="32"/>
        <v>-0.8769999999999998</v>
      </c>
      <c r="V213" s="183">
        <v>0</v>
      </c>
      <c r="W213" s="185">
        <f>1.05*16</f>
        <v>16.8</v>
      </c>
      <c r="X213" s="151">
        <f t="shared" si="33"/>
        <v>17.677</v>
      </c>
      <c r="Y213" s="220"/>
      <c r="Z213" s="218"/>
    </row>
    <row r="214" spans="1:26" s="2" customFormat="1" ht="36.75" customHeight="1">
      <c r="A214" s="225"/>
      <c r="B214" s="148" t="s">
        <v>442</v>
      </c>
      <c r="C214" s="149">
        <v>16</v>
      </c>
      <c r="D214" s="184">
        <v>4.68</v>
      </c>
      <c r="E214" s="185">
        <v>5.3</v>
      </c>
      <c r="F214" s="183">
        <v>120</v>
      </c>
      <c r="G214" s="185">
        <f t="shared" si="29"/>
        <v>-0.6200000000000001</v>
      </c>
      <c r="H214" s="183">
        <v>0</v>
      </c>
      <c r="I214" s="185">
        <f>1.05*16</f>
        <v>16.8</v>
      </c>
      <c r="J214" s="151">
        <f t="shared" si="31"/>
        <v>17.42</v>
      </c>
      <c r="K214" s="220"/>
      <c r="L214" s="218"/>
      <c r="M214" s="186"/>
      <c r="N214" s="226"/>
      <c r="O214" s="153" t="s">
        <v>442</v>
      </c>
      <c r="P214" s="154">
        <v>16</v>
      </c>
      <c r="Q214" s="155"/>
      <c r="R214" s="150">
        <f t="shared" si="36"/>
        <v>4.68</v>
      </c>
      <c r="S214" s="185">
        <v>5.3</v>
      </c>
      <c r="T214" s="183">
        <v>120</v>
      </c>
      <c r="U214" s="151">
        <f t="shared" si="32"/>
        <v>-0.6200000000000001</v>
      </c>
      <c r="V214" s="183">
        <v>0</v>
      </c>
      <c r="W214" s="185">
        <f>1.05*16</f>
        <v>16.8</v>
      </c>
      <c r="X214" s="151">
        <f t="shared" si="33"/>
        <v>17.42</v>
      </c>
      <c r="Y214" s="220"/>
      <c r="Z214" s="218"/>
    </row>
    <row r="215" spans="1:26" s="24" customFormat="1" ht="36" customHeight="1">
      <c r="A215" s="221">
        <v>30</v>
      </c>
      <c r="B215" s="148" t="s">
        <v>600</v>
      </c>
      <c r="C215" s="149" t="s">
        <v>309</v>
      </c>
      <c r="D215" s="150">
        <f>D216+D217</f>
        <v>5.9</v>
      </c>
      <c r="E215" s="151">
        <v>13.1</v>
      </c>
      <c r="F215" s="147">
        <v>120</v>
      </c>
      <c r="G215" s="151">
        <f aca="true" t="shared" si="39" ref="G215:G281">D215-E215</f>
        <v>-7.199999999999999</v>
      </c>
      <c r="H215" s="147">
        <v>0</v>
      </c>
      <c r="I215" s="151">
        <f>1.05*6.3</f>
        <v>6.615</v>
      </c>
      <c r="J215" s="151">
        <f t="shared" si="31"/>
        <v>13.815</v>
      </c>
      <c r="K215" s="220">
        <f>MIN(J215:J217)</f>
        <v>6.715</v>
      </c>
      <c r="L215" s="218" t="s">
        <v>435</v>
      </c>
      <c r="M215" s="131"/>
      <c r="N215" s="219">
        <v>30</v>
      </c>
      <c r="O215" s="153" t="s">
        <v>600</v>
      </c>
      <c r="P215" s="154" t="s">
        <v>309</v>
      </c>
      <c r="Q215" s="155">
        <f>Q216+Q217</f>
        <v>1.097</v>
      </c>
      <c r="R215" s="150">
        <f aca="true" t="shared" si="40" ref="R215:R246">Q215+D215</f>
        <v>6.997</v>
      </c>
      <c r="S215" s="151">
        <v>13.1</v>
      </c>
      <c r="T215" s="147">
        <v>120</v>
      </c>
      <c r="U215" s="151">
        <f t="shared" si="32"/>
        <v>-6.103</v>
      </c>
      <c r="V215" s="147">
        <v>0</v>
      </c>
      <c r="W215" s="151">
        <f>1.05*6.3</f>
        <v>6.615</v>
      </c>
      <c r="X215" s="151">
        <f t="shared" si="33"/>
        <v>12.718</v>
      </c>
      <c r="Y215" s="220">
        <f>MIN(X215:X217)</f>
        <v>5.973000000000001</v>
      </c>
      <c r="Z215" s="218" t="s">
        <v>435</v>
      </c>
    </row>
    <row r="216" spans="1:26" s="24" customFormat="1" ht="36" customHeight="1">
      <c r="A216" s="221"/>
      <c r="B216" s="148" t="s">
        <v>439</v>
      </c>
      <c r="C216" s="149" t="s">
        <v>309</v>
      </c>
      <c r="D216" s="150">
        <v>4.7</v>
      </c>
      <c r="E216" s="151">
        <v>11.8</v>
      </c>
      <c r="F216" s="147"/>
      <c r="G216" s="151">
        <f t="shared" si="39"/>
        <v>-7.1000000000000005</v>
      </c>
      <c r="H216" s="147">
        <v>0</v>
      </c>
      <c r="I216" s="151">
        <f>1.05*6.3</f>
        <v>6.615</v>
      </c>
      <c r="J216" s="151">
        <f aca="true" t="shared" si="41" ref="J216:J282">I216-H216-G216</f>
        <v>13.715</v>
      </c>
      <c r="K216" s="220"/>
      <c r="L216" s="218"/>
      <c r="M216" s="131"/>
      <c r="N216" s="219"/>
      <c r="O216" s="153" t="s">
        <v>439</v>
      </c>
      <c r="P216" s="154" t="s">
        <v>309</v>
      </c>
      <c r="Q216" s="155">
        <f>Q54+Q90+Q91+Q309+Q345</f>
        <v>0.355</v>
      </c>
      <c r="R216" s="150">
        <f t="shared" si="40"/>
        <v>5.055</v>
      </c>
      <c r="S216" s="151">
        <v>11.8</v>
      </c>
      <c r="T216" s="147"/>
      <c r="U216" s="151">
        <f aca="true" t="shared" si="42" ref="U216:U282">R216-S216</f>
        <v>-6.745000000000001</v>
      </c>
      <c r="V216" s="147">
        <v>0</v>
      </c>
      <c r="W216" s="151">
        <f>1.05*6.3</f>
        <v>6.615</v>
      </c>
      <c r="X216" s="151">
        <f aca="true" t="shared" si="43" ref="X216:X282">W216-V216-U216</f>
        <v>13.360000000000001</v>
      </c>
      <c r="Y216" s="220"/>
      <c r="Z216" s="218"/>
    </row>
    <row r="217" spans="1:26" s="24" customFormat="1" ht="36.75" customHeight="1">
      <c r="A217" s="221"/>
      <c r="B217" s="148" t="s">
        <v>442</v>
      </c>
      <c r="C217" s="149" t="s">
        <v>309</v>
      </c>
      <c r="D217" s="150">
        <v>1.2</v>
      </c>
      <c r="E217" s="151">
        <v>1.3</v>
      </c>
      <c r="F217" s="147"/>
      <c r="G217" s="151">
        <f t="shared" si="39"/>
        <v>-0.10000000000000009</v>
      </c>
      <c r="H217" s="147">
        <v>0</v>
      </c>
      <c r="I217" s="151">
        <f>1.05*6.3</f>
        <v>6.615</v>
      </c>
      <c r="J217" s="151">
        <f t="shared" si="41"/>
        <v>6.715</v>
      </c>
      <c r="K217" s="220"/>
      <c r="L217" s="218"/>
      <c r="M217" s="131"/>
      <c r="N217" s="219"/>
      <c r="O217" s="153" t="s">
        <v>442</v>
      </c>
      <c r="P217" s="154" t="s">
        <v>309</v>
      </c>
      <c r="Q217" s="155">
        <f>0.009+0.015+0.015+0.688+0.015</f>
        <v>0.742</v>
      </c>
      <c r="R217" s="150">
        <f t="shared" si="40"/>
        <v>1.942</v>
      </c>
      <c r="S217" s="151">
        <v>1.3</v>
      </c>
      <c r="T217" s="147"/>
      <c r="U217" s="151">
        <f t="shared" si="42"/>
        <v>0.6419999999999999</v>
      </c>
      <c r="V217" s="147">
        <v>0</v>
      </c>
      <c r="W217" s="151">
        <f>1.05*6.3</f>
        <v>6.615</v>
      </c>
      <c r="X217" s="151">
        <f t="shared" si="43"/>
        <v>5.973000000000001</v>
      </c>
      <c r="Y217" s="220"/>
      <c r="Z217" s="218"/>
    </row>
    <row r="218" spans="1:26" s="24" customFormat="1" ht="36" customHeight="1">
      <c r="A218" s="221">
        <v>31</v>
      </c>
      <c r="B218" s="148" t="s">
        <v>601</v>
      </c>
      <c r="C218" s="149" t="s">
        <v>312</v>
      </c>
      <c r="D218" s="150">
        <f>D219+D220</f>
        <v>7.38</v>
      </c>
      <c r="E218" s="151">
        <f>E219+E220</f>
        <v>9.35</v>
      </c>
      <c r="F218" s="147">
        <v>10</v>
      </c>
      <c r="G218" s="151">
        <f t="shared" si="39"/>
        <v>-1.9699999999999998</v>
      </c>
      <c r="H218" s="147">
        <v>0</v>
      </c>
      <c r="I218" s="151">
        <f>1.05*16</f>
        <v>16.8</v>
      </c>
      <c r="J218" s="151">
        <f t="shared" si="41"/>
        <v>18.77</v>
      </c>
      <c r="K218" s="220">
        <f>MIN(J218:J220)</f>
        <v>16.89</v>
      </c>
      <c r="L218" s="218" t="s">
        <v>435</v>
      </c>
      <c r="M218" s="131"/>
      <c r="N218" s="219">
        <v>31</v>
      </c>
      <c r="O218" s="153" t="s">
        <v>601</v>
      </c>
      <c r="P218" s="154" t="s">
        <v>312</v>
      </c>
      <c r="Q218" s="155">
        <f>Q219+Q220</f>
        <v>1.2565000000000002</v>
      </c>
      <c r="R218" s="150">
        <f t="shared" si="40"/>
        <v>8.6365</v>
      </c>
      <c r="S218" s="151">
        <v>9.35</v>
      </c>
      <c r="T218" s="147">
        <v>10</v>
      </c>
      <c r="U218" s="151">
        <f t="shared" si="42"/>
        <v>-0.7134999999999998</v>
      </c>
      <c r="V218" s="147">
        <v>0</v>
      </c>
      <c r="W218" s="151">
        <f>1.05*16</f>
        <v>16.8</v>
      </c>
      <c r="X218" s="151">
        <f t="shared" si="43"/>
        <v>17.5135</v>
      </c>
      <c r="Y218" s="220">
        <f>MIN(X218:X220)</f>
        <v>16.84</v>
      </c>
      <c r="Z218" s="218" t="s">
        <v>435</v>
      </c>
    </row>
    <row r="219" spans="1:26" s="24" customFormat="1" ht="36" customHeight="1">
      <c r="A219" s="221"/>
      <c r="B219" s="148" t="s">
        <v>439</v>
      </c>
      <c r="C219" s="149">
        <v>16</v>
      </c>
      <c r="D219" s="150">
        <v>7.21</v>
      </c>
      <c r="E219" s="151">
        <v>9.09</v>
      </c>
      <c r="F219" s="147"/>
      <c r="G219" s="151">
        <f t="shared" si="39"/>
        <v>-1.88</v>
      </c>
      <c r="H219" s="147">
        <v>0</v>
      </c>
      <c r="I219" s="151">
        <f>1.05*16</f>
        <v>16.8</v>
      </c>
      <c r="J219" s="151">
        <f t="shared" si="41"/>
        <v>18.68</v>
      </c>
      <c r="K219" s="220"/>
      <c r="L219" s="218"/>
      <c r="M219" s="131"/>
      <c r="N219" s="219"/>
      <c r="O219" s="153" t="s">
        <v>439</v>
      </c>
      <c r="P219" s="154">
        <v>16</v>
      </c>
      <c r="Q219" s="155">
        <f>Q114+Q344+Q366+Q380</f>
        <v>1.2065000000000001</v>
      </c>
      <c r="R219" s="150">
        <f t="shared" si="40"/>
        <v>8.4165</v>
      </c>
      <c r="S219" s="151">
        <v>9.09</v>
      </c>
      <c r="T219" s="147"/>
      <c r="U219" s="151">
        <f t="shared" si="42"/>
        <v>-0.6735000000000007</v>
      </c>
      <c r="V219" s="147">
        <v>0</v>
      </c>
      <c r="W219" s="151">
        <f>1.05*16</f>
        <v>16.8</v>
      </c>
      <c r="X219" s="151">
        <f t="shared" si="43"/>
        <v>17.4735</v>
      </c>
      <c r="Y219" s="220"/>
      <c r="Z219" s="218"/>
    </row>
    <row r="220" spans="1:26" s="24" customFormat="1" ht="36.75" customHeight="1">
      <c r="A220" s="221"/>
      <c r="B220" s="148" t="s">
        <v>442</v>
      </c>
      <c r="C220" s="149">
        <v>16</v>
      </c>
      <c r="D220" s="150">
        <v>0.17</v>
      </c>
      <c r="E220" s="151">
        <v>0.26</v>
      </c>
      <c r="F220" s="147">
        <v>120</v>
      </c>
      <c r="G220" s="151">
        <f t="shared" si="39"/>
        <v>-0.09</v>
      </c>
      <c r="H220" s="147">
        <v>0</v>
      </c>
      <c r="I220" s="151">
        <f>1.05*16</f>
        <v>16.8</v>
      </c>
      <c r="J220" s="151">
        <f t="shared" si="41"/>
        <v>16.89</v>
      </c>
      <c r="K220" s="220"/>
      <c r="L220" s="218"/>
      <c r="M220" s="131"/>
      <c r="N220" s="219"/>
      <c r="O220" s="153" t="s">
        <v>442</v>
      </c>
      <c r="P220" s="154">
        <v>16</v>
      </c>
      <c r="Q220" s="155">
        <f>0.035+0.015</f>
        <v>0.05</v>
      </c>
      <c r="R220" s="150">
        <f t="shared" si="40"/>
        <v>0.22000000000000003</v>
      </c>
      <c r="S220" s="151">
        <v>0.26</v>
      </c>
      <c r="T220" s="147">
        <v>120</v>
      </c>
      <c r="U220" s="151">
        <f t="shared" si="42"/>
        <v>-0.03999999999999998</v>
      </c>
      <c r="V220" s="147">
        <v>0</v>
      </c>
      <c r="W220" s="151">
        <f>1.05*16</f>
        <v>16.8</v>
      </c>
      <c r="X220" s="151">
        <f t="shared" si="43"/>
        <v>16.84</v>
      </c>
      <c r="Y220" s="220"/>
      <c r="Z220" s="218"/>
    </row>
    <row r="221" spans="1:26" s="24" customFormat="1" ht="36" customHeight="1">
      <c r="A221" s="221">
        <v>32</v>
      </c>
      <c r="B221" s="148" t="s">
        <v>602</v>
      </c>
      <c r="C221" s="149" t="s">
        <v>309</v>
      </c>
      <c r="D221" s="150">
        <f>D222+D223</f>
        <v>5.8100000000000005</v>
      </c>
      <c r="E221" s="151">
        <v>9.6</v>
      </c>
      <c r="F221" s="147">
        <v>120</v>
      </c>
      <c r="G221" s="151">
        <f t="shared" si="39"/>
        <v>-3.789999999999999</v>
      </c>
      <c r="H221" s="147">
        <v>0</v>
      </c>
      <c r="I221" s="151">
        <f>1.05*6.3</f>
        <v>6.615</v>
      </c>
      <c r="J221" s="151">
        <f t="shared" si="41"/>
        <v>10.405</v>
      </c>
      <c r="K221" s="220">
        <f>MIN(J221:J223)</f>
        <v>8.024999999999999</v>
      </c>
      <c r="L221" s="218" t="s">
        <v>435</v>
      </c>
      <c r="M221" s="131"/>
      <c r="N221" s="219">
        <v>32</v>
      </c>
      <c r="O221" s="153" t="s">
        <v>602</v>
      </c>
      <c r="P221" s="154" t="s">
        <v>309</v>
      </c>
      <c r="Q221" s="155">
        <f>Q222+Q223</f>
        <v>3.417</v>
      </c>
      <c r="R221" s="150">
        <f t="shared" si="40"/>
        <v>9.227</v>
      </c>
      <c r="S221" s="151">
        <v>9.6</v>
      </c>
      <c r="T221" s="147">
        <v>120</v>
      </c>
      <c r="U221" s="151">
        <f t="shared" si="42"/>
        <v>-0.37299999999999933</v>
      </c>
      <c r="V221" s="147">
        <v>0</v>
      </c>
      <c r="W221" s="151">
        <f>1.05*6.3</f>
        <v>6.615</v>
      </c>
      <c r="X221" s="151">
        <f t="shared" si="43"/>
        <v>6.9879999999999995</v>
      </c>
      <c r="Y221" s="220">
        <f>MIN(X221:X223)</f>
        <v>4.616999999999999</v>
      </c>
      <c r="Z221" s="218" t="s">
        <v>435</v>
      </c>
    </row>
    <row r="222" spans="1:26" s="24" customFormat="1" ht="36" customHeight="1">
      <c r="A222" s="221"/>
      <c r="B222" s="148" t="s">
        <v>439</v>
      </c>
      <c r="C222" s="149" t="s">
        <v>309</v>
      </c>
      <c r="D222" s="150">
        <v>5.19</v>
      </c>
      <c r="E222" s="151">
        <v>6.6</v>
      </c>
      <c r="F222" s="147">
        <v>120</v>
      </c>
      <c r="G222" s="151">
        <f t="shared" si="39"/>
        <v>-1.4099999999999993</v>
      </c>
      <c r="H222" s="147">
        <v>0</v>
      </c>
      <c r="I222" s="151">
        <f>1.05*6.3</f>
        <v>6.615</v>
      </c>
      <c r="J222" s="151">
        <f t="shared" si="41"/>
        <v>8.024999999999999</v>
      </c>
      <c r="K222" s="220"/>
      <c r="L222" s="218"/>
      <c r="M222" s="131"/>
      <c r="N222" s="219"/>
      <c r="O222" s="153" t="s">
        <v>439</v>
      </c>
      <c r="P222" s="154" t="s">
        <v>309</v>
      </c>
      <c r="Q222" s="155">
        <f>Q62+Q105+Q336+Q339+Q372+Q379</f>
        <v>3.408</v>
      </c>
      <c r="R222" s="150">
        <f t="shared" si="40"/>
        <v>8.598</v>
      </c>
      <c r="S222" s="151">
        <v>6.6</v>
      </c>
      <c r="T222" s="147">
        <v>120</v>
      </c>
      <c r="U222" s="151">
        <f t="shared" si="42"/>
        <v>1.998000000000001</v>
      </c>
      <c r="V222" s="147">
        <v>0</v>
      </c>
      <c r="W222" s="151">
        <f>1.05*6.3</f>
        <v>6.615</v>
      </c>
      <c r="X222" s="151">
        <f t="shared" si="43"/>
        <v>4.616999999999999</v>
      </c>
      <c r="Y222" s="220"/>
      <c r="Z222" s="218"/>
    </row>
    <row r="223" spans="1:26" s="24" customFormat="1" ht="36.75" customHeight="1">
      <c r="A223" s="221"/>
      <c r="B223" s="148" t="s">
        <v>442</v>
      </c>
      <c r="C223" s="149" t="s">
        <v>309</v>
      </c>
      <c r="D223" s="150">
        <v>0.62</v>
      </c>
      <c r="E223" s="151">
        <v>3</v>
      </c>
      <c r="F223" s="147">
        <v>45</v>
      </c>
      <c r="G223" s="151">
        <f t="shared" si="39"/>
        <v>-2.38</v>
      </c>
      <c r="H223" s="147">
        <v>0</v>
      </c>
      <c r="I223" s="151">
        <f>1.05*6.3</f>
        <v>6.615</v>
      </c>
      <c r="J223" s="151">
        <f t="shared" si="41"/>
        <v>8.995000000000001</v>
      </c>
      <c r="K223" s="220"/>
      <c r="L223" s="218"/>
      <c r="M223" s="131"/>
      <c r="N223" s="219"/>
      <c r="O223" s="153" t="s">
        <v>442</v>
      </c>
      <c r="P223" s="154" t="s">
        <v>309</v>
      </c>
      <c r="Q223" s="155">
        <v>0.009</v>
      </c>
      <c r="R223" s="150">
        <f t="shared" si="40"/>
        <v>0.629</v>
      </c>
      <c r="S223" s="151">
        <v>3</v>
      </c>
      <c r="T223" s="147">
        <v>45</v>
      </c>
      <c r="U223" s="151">
        <f t="shared" si="42"/>
        <v>-2.371</v>
      </c>
      <c r="V223" s="147">
        <v>0</v>
      </c>
      <c r="W223" s="151">
        <f>1.05*6.3</f>
        <v>6.615</v>
      </c>
      <c r="X223" s="151">
        <f t="shared" si="43"/>
        <v>8.986</v>
      </c>
      <c r="Y223" s="220"/>
      <c r="Z223" s="218"/>
    </row>
    <row r="224" spans="1:26" s="24" customFormat="1" ht="15">
      <c r="A224" s="147">
        <v>33</v>
      </c>
      <c r="B224" s="148" t="s">
        <v>603</v>
      </c>
      <c r="C224" s="149" t="s">
        <v>310</v>
      </c>
      <c r="D224" s="168">
        <v>0.61</v>
      </c>
      <c r="E224" s="151">
        <v>0.55</v>
      </c>
      <c r="F224" s="147">
        <v>120</v>
      </c>
      <c r="G224" s="151">
        <f t="shared" si="39"/>
        <v>0.05999999999999994</v>
      </c>
      <c r="H224" s="147">
        <v>0</v>
      </c>
      <c r="I224" s="151">
        <v>6.615</v>
      </c>
      <c r="J224" s="151">
        <f t="shared" si="41"/>
        <v>6.555000000000001</v>
      </c>
      <c r="K224" s="151">
        <f>J224</f>
        <v>6.555000000000001</v>
      </c>
      <c r="L224" s="152" t="s">
        <v>435</v>
      </c>
      <c r="M224" s="131"/>
      <c r="N224" s="138">
        <v>33</v>
      </c>
      <c r="O224" s="153" t="s">
        <v>603</v>
      </c>
      <c r="P224" s="154" t="s">
        <v>310</v>
      </c>
      <c r="Q224" s="155">
        <f>0.324+0.035+0.002+0.01+0.01</f>
        <v>0.381</v>
      </c>
      <c r="R224" s="150">
        <f t="shared" si="40"/>
        <v>0.991</v>
      </c>
      <c r="S224" s="151">
        <v>0.55</v>
      </c>
      <c r="T224" s="147">
        <v>120</v>
      </c>
      <c r="U224" s="151">
        <f t="shared" si="42"/>
        <v>0.44099999999999995</v>
      </c>
      <c r="V224" s="147">
        <v>0</v>
      </c>
      <c r="W224" s="151">
        <v>6.615</v>
      </c>
      <c r="X224" s="151">
        <f t="shared" si="43"/>
        <v>6.174</v>
      </c>
      <c r="Y224" s="151">
        <f>X224</f>
        <v>6.174</v>
      </c>
      <c r="Z224" s="152" t="s">
        <v>435</v>
      </c>
    </row>
    <row r="225" spans="1:26" s="24" customFormat="1" ht="36" customHeight="1">
      <c r="A225" s="221">
        <v>34</v>
      </c>
      <c r="B225" s="148" t="s">
        <v>604</v>
      </c>
      <c r="C225" s="149" t="s">
        <v>321</v>
      </c>
      <c r="D225" s="150">
        <f>D226+D227</f>
        <v>6.09</v>
      </c>
      <c r="E225" s="151">
        <f>E226+E227</f>
        <v>8.11</v>
      </c>
      <c r="F225" s="147">
        <v>120</v>
      </c>
      <c r="G225" s="151">
        <f t="shared" si="39"/>
        <v>-2.0199999999999996</v>
      </c>
      <c r="H225" s="147">
        <v>0</v>
      </c>
      <c r="I225" s="151">
        <f>1.05*10</f>
        <v>10.5</v>
      </c>
      <c r="J225" s="151">
        <f t="shared" si="41"/>
        <v>12.52</v>
      </c>
      <c r="K225" s="220">
        <f>MIN(J225:J227)</f>
        <v>11.41</v>
      </c>
      <c r="L225" s="218" t="s">
        <v>435</v>
      </c>
      <c r="M225" s="131"/>
      <c r="N225" s="219">
        <v>34</v>
      </c>
      <c r="O225" s="153" t="s">
        <v>604</v>
      </c>
      <c r="P225" s="154" t="s">
        <v>321</v>
      </c>
      <c r="Q225" s="155">
        <f>Q226+Q227</f>
        <v>0.402937</v>
      </c>
      <c r="R225" s="150">
        <f t="shared" si="40"/>
        <v>6.4929369999999995</v>
      </c>
      <c r="S225" s="151">
        <v>8.11</v>
      </c>
      <c r="T225" s="147">
        <v>120</v>
      </c>
      <c r="U225" s="151">
        <f t="shared" si="42"/>
        <v>-1.617063</v>
      </c>
      <c r="V225" s="147">
        <v>0</v>
      </c>
      <c r="W225" s="151">
        <f>1.05*10</f>
        <v>10.5</v>
      </c>
      <c r="X225" s="151">
        <f t="shared" si="43"/>
        <v>12.117063</v>
      </c>
      <c r="Y225" s="220">
        <f>MIN(X225:X227)</f>
        <v>11.262563</v>
      </c>
      <c r="Z225" s="218" t="s">
        <v>435</v>
      </c>
    </row>
    <row r="226" spans="1:26" s="24" customFormat="1" ht="36" customHeight="1">
      <c r="A226" s="221"/>
      <c r="B226" s="148" t="s">
        <v>439</v>
      </c>
      <c r="C226" s="149" t="s">
        <v>321</v>
      </c>
      <c r="D226" s="150">
        <v>3.79</v>
      </c>
      <c r="E226" s="151">
        <v>4.9</v>
      </c>
      <c r="F226" s="147"/>
      <c r="G226" s="151">
        <f t="shared" si="39"/>
        <v>-1.1100000000000003</v>
      </c>
      <c r="H226" s="147">
        <v>0</v>
      </c>
      <c r="I226" s="151">
        <f aca="true" t="shared" si="44" ref="I226:I231">1.05*10</f>
        <v>10.5</v>
      </c>
      <c r="J226" s="151">
        <f t="shared" si="41"/>
        <v>11.61</v>
      </c>
      <c r="K226" s="220"/>
      <c r="L226" s="218"/>
      <c r="M226" s="131"/>
      <c r="N226" s="219"/>
      <c r="O226" s="153" t="s">
        <v>439</v>
      </c>
      <c r="P226" s="154" t="s">
        <v>321</v>
      </c>
      <c r="Q226" s="155">
        <f>Q38+Q68+Q89+Q134+Q337+Q360+Q376</f>
        <v>0.347437</v>
      </c>
      <c r="R226" s="150">
        <f t="shared" si="40"/>
        <v>4.137437</v>
      </c>
      <c r="S226" s="151">
        <v>4.9</v>
      </c>
      <c r="T226" s="147"/>
      <c r="U226" s="151">
        <f t="shared" si="42"/>
        <v>-0.7625630000000001</v>
      </c>
      <c r="V226" s="147">
        <v>0</v>
      </c>
      <c r="W226" s="151">
        <f aca="true" t="shared" si="45" ref="W226:W231">1.05*10</f>
        <v>10.5</v>
      </c>
      <c r="X226" s="151">
        <f t="shared" si="43"/>
        <v>11.262563</v>
      </c>
      <c r="Y226" s="220"/>
      <c r="Z226" s="218"/>
    </row>
    <row r="227" spans="1:26" s="24" customFormat="1" ht="36.75" customHeight="1">
      <c r="A227" s="221"/>
      <c r="B227" s="148" t="s">
        <v>442</v>
      </c>
      <c r="C227" s="149" t="s">
        <v>321</v>
      </c>
      <c r="D227" s="150">
        <v>2.3</v>
      </c>
      <c r="E227" s="151">
        <v>3.21</v>
      </c>
      <c r="F227" s="147"/>
      <c r="G227" s="151">
        <f t="shared" si="39"/>
        <v>-0.9100000000000001</v>
      </c>
      <c r="H227" s="147">
        <v>0</v>
      </c>
      <c r="I227" s="151">
        <f t="shared" si="44"/>
        <v>10.5</v>
      </c>
      <c r="J227" s="151">
        <f t="shared" si="41"/>
        <v>11.41</v>
      </c>
      <c r="K227" s="220"/>
      <c r="L227" s="218"/>
      <c r="M227" s="131"/>
      <c r="N227" s="219"/>
      <c r="O227" s="153" t="s">
        <v>442</v>
      </c>
      <c r="P227" s="154" t="s">
        <v>321</v>
      </c>
      <c r="Q227" s="155">
        <f>0.02+0.015+0.007+0.0085+0.005</f>
        <v>0.0555</v>
      </c>
      <c r="R227" s="150">
        <f t="shared" si="40"/>
        <v>2.3554999999999997</v>
      </c>
      <c r="S227" s="151">
        <v>3.21</v>
      </c>
      <c r="T227" s="147"/>
      <c r="U227" s="151">
        <f t="shared" si="42"/>
        <v>-0.8545000000000003</v>
      </c>
      <c r="V227" s="147">
        <v>0</v>
      </c>
      <c r="W227" s="151">
        <f t="shared" si="45"/>
        <v>10.5</v>
      </c>
      <c r="X227" s="151">
        <f t="shared" si="43"/>
        <v>11.3545</v>
      </c>
      <c r="Y227" s="220"/>
      <c r="Z227" s="218"/>
    </row>
    <row r="228" spans="1:26" s="24" customFormat="1" ht="36" customHeight="1">
      <c r="A228" s="221">
        <v>35</v>
      </c>
      <c r="B228" s="148" t="s">
        <v>605</v>
      </c>
      <c r="C228" s="149" t="s">
        <v>315</v>
      </c>
      <c r="D228" s="150">
        <f>D229+D230</f>
        <v>7.289999999999999</v>
      </c>
      <c r="E228" s="151">
        <f>E229+E230</f>
        <v>19.220000000000002</v>
      </c>
      <c r="F228" s="147">
        <v>120</v>
      </c>
      <c r="G228" s="151">
        <f t="shared" si="39"/>
        <v>-11.930000000000003</v>
      </c>
      <c r="H228" s="147">
        <v>0</v>
      </c>
      <c r="I228" s="151">
        <f t="shared" si="44"/>
        <v>10.5</v>
      </c>
      <c r="J228" s="151">
        <f t="shared" si="41"/>
        <v>22.430000000000003</v>
      </c>
      <c r="K228" s="220">
        <f>MIN(J228:J230)</f>
        <v>8.31</v>
      </c>
      <c r="L228" s="218" t="s">
        <v>435</v>
      </c>
      <c r="M228" s="131"/>
      <c r="N228" s="219">
        <v>35</v>
      </c>
      <c r="O228" s="153" t="s">
        <v>605</v>
      </c>
      <c r="P228" s="154" t="s">
        <v>315</v>
      </c>
      <c r="Q228" s="155">
        <f>Q229+Q230</f>
        <v>0.7750000000000001</v>
      </c>
      <c r="R228" s="150">
        <f t="shared" si="40"/>
        <v>8.065</v>
      </c>
      <c r="S228" s="151">
        <v>19.220000000000002</v>
      </c>
      <c r="T228" s="147">
        <v>120</v>
      </c>
      <c r="U228" s="151">
        <f t="shared" si="42"/>
        <v>-11.155000000000003</v>
      </c>
      <c r="V228" s="147">
        <v>0</v>
      </c>
      <c r="W228" s="151">
        <f t="shared" si="45"/>
        <v>10.5</v>
      </c>
      <c r="X228" s="151">
        <f t="shared" si="43"/>
        <v>21.655</v>
      </c>
      <c r="Y228" s="220">
        <f>MIN(X228:X230)</f>
        <v>7.997000000000001</v>
      </c>
      <c r="Z228" s="218" t="s">
        <v>435</v>
      </c>
    </row>
    <row r="229" spans="1:26" s="24" customFormat="1" ht="36" customHeight="1">
      <c r="A229" s="221"/>
      <c r="B229" s="148" t="s">
        <v>439</v>
      </c>
      <c r="C229" s="149">
        <v>10</v>
      </c>
      <c r="D229" s="150">
        <v>2.98</v>
      </c>
      <c r="E229" s="151">
        <v>17.1</v>
      </c>
      <c r="F229" s="147"/>
      <c r="G229" s="151">
        <f t="shared" si="39"/>
        <v>-14.120000000000001</v>
      </c>
      <c r="H229" s="147">
        <v>0</v>
      </c>
      <c r="I229" s="151">
        <f t="shared" si="44"/>
        <v>10.5</v>
      </c>
      <c r="J229" s="151">
        <f t="shared" si="41"/>
        <v>24.62</v>
      </c>
      <c r="K229" s="220"/>
      <c r="L229" s="218"/>
      <c r="M229" s="131"/>
      <c r="N229" s="219"/>
      <c r="O229" s="153" t="s">
        <v>439</v>
      </c>
      <c r="P229" s="154">
        <v>10</v>
      </c>
      <c r="Q229" s="155">
        <f>Q58+Q80+Q129+Q307+Q321+Q370</f>
        <v>0.4620000000000001</v>
      </c>
      <c r="R229" s="150">
        <f t="shared" si="40"/>
        <v>3.442</v>
      </c>
      <c r="S229" s="151">
        <v>17.1</v>
      </c>
      <c r="T229" s="147"/>
      <c r="U229" s="151">
        <f t="shared" si="42"/>
        <v>-13.658000000000001</v>
      </c>
      <c r="V229" s="147">
        <v>0</v>
      </c>
      <c r="W229" s="151">
        <f t="shared" si="45"/>
        <v>10.5</v>
      </c>
      <c r="X229" s="151">
        <f t="shared" si="43"/>
        <v>24.158</v>
      </c>
      <c r="Y229" s="220"/>
      <c r="Z229" s="218"/>
    </row>
    <row r="230" spans="1:26" s="24" customFormat="1" ht="36.75" customHeight="1">
      <c r="A230" s="221"/>
      <c r="B230" s="148" t="s">
        <v>442</v>
      </c>
      <c r="C230" s="149">
        <v>10</v>
      </c>
      <c r="D230" s="150">
        <v>4.31</v>
      </c>
      <c r="E230" s="151">
        <v>2.12</v>
      </c>
      <c r="F230" s="147">
        <v>120</v>
      </c>
      <c r="G230" s="151">
        <f t="shared" si="39"/>
        <v>2.1899999999999995</v>
      </c>
      <c r="H230" s="147">
        <v>0</v>
      </c>
      <c r="I230" s="151">
        <f t="shared" si="44"/>
        <v>10.5</v>
      </c>
      <c r="J230" s="151">
        <f t="shared" si="41"/>
        <v>8.31</v>
      </c>
      <c r="K230" s="220"/>
      <c r="L230" s="218"/>
      <c r="M230" s="131"/>
      <c r="N230" s="219"/>
      <c r="O230" s="153" t="s">
        <v>442</v>
      </c>
      <c r="P230" s="154">
        <v>10</v>
      </c>
      <c r="Q230" s="155">
        <f>0.186+0.038+0.01+0.026+0.028+0.025</f>
        <v>0.31300000000000006</v>
      </c>
      <c r="R230" s="150">
        <f t="shared" si="40"/>
        <v>4.622999999999999</v>
      </c>
      <c r="S230" s="151">
        <v>2.12</v>
      </c>
      <c r="T230" s="147">
        <v>120</v>
      </c>
      <c r="U230" s="151">
        <f t="shared" si="42"/>
        <v>2.5029999999999992</v>
      </c>
      <c r="V230" s="147">
        <v>0</v>
      </c>
      <c r="W230" s="151">
        <f t="shared" si="45"/>
        <v>10.5</v>
      </c>
      <c r="X230" s="151">
        <f t="shared" si="43"/>
        <v>7.997000000000001</v>
      </c>
      <c r="Y230" s="220"/>
      <c r="Z230" s="218"/>
    </row>
    <row r="231" spans="1:26" s="24" customFormat="1" ht="15">
      <c r="A231" s="147">
        <v>36</v>
      </c>
      <c r="B231" s="148" t="s">
        <v>606</v>
      </c>
      <c r="C231" s="149" t="s">
        <v>315</v>
      </c>
      <c r="D231" s="150">
        <v>0.11</v>
      </c>
      <c r="E231" s="151"/>
      <c r="F231" s="147"/>
      <c r="G231" s="151">
        <f t="shared" si="39"/>
        <v>0.11</v>
      </c>
      <c r="H231" s="147">
        <v>0</v>
      </c>
      <c r="I231" s="151">
        <f t="shared" si="44"/>
        <v>10.5</v>
      </c>
      <c r="J231" s="151">
        <f t="shared" si="41"/>
        <v>10.39</v>
      </c>
      <c r="K231" s="151">
        <f>J231</f>
        <v>10.39</v>
      </c>
      <c r="L231" s="152" t="s">
        <v>435</v>
      </c>
      <c r="M231" s="131"/>
      <c r="N231" s="138">
        <v>36</v>
      </c>
      <c r="O231" s="153" t="s">
        <v>606</v>
      </c>
      <c r="P231" s="154" t="s">
        <v>315</v>
      </c>
      <c r="Q231" s="155">
        <v>0.014</v>
      </c>
      <c r="R231" s="150">
        <f t="shared" si="40"/>
        <v>0.124</v>
      </c>
      <c r="S231" s="151"/>
      <c r="T231" s="147"/>
      <c r="U231" s="151">
        <f t="shared" si="42"/>
        <v>0.124</v>
      </c>
      <c r="V231" s="147">
        <v>0</v>
      </c>
      <c r="W231" s="151">
        <f t="shared" si="45"/>
        <v>10.5</v>
      </c>
      <c r="X231" s="151">
        <f t="shared" si="43"/>
        <v>10.376</v>
      </c>
      <c r="Y231" s="151">
        <f>X231</f>
        <v>10.376</v>
      </c>
      <c r="Z231" s="152" t="s">
        <v>435</v>
      </c>
    </row>
    <row r="232" spans="1:26" s="24" customFormat="1" ht="36" customHeight="1">
      <c r="A232" s="221">
        <v>37</v>
      </c>
      <c r="B232" s="148" t="s">
        <v>607</v>
      </c>
      <c r="C232" s="149" t="s">
        <v>322</v>
      </c>
      <c r="D232" s="150">
        <f>D233+D234</f>
        <v>16.25</v>
      </c>
      <c r="E232" s="151">
        <v>26.86</v>
      </c>
      <c r="F232" s="147">
        <v>120</v>
      </c>
      <c r="G232" s="151">
        <f t="shared" si="39"/>
        <v>-10.61</v>
      </c>
      <c r="H232" s="147">
        <v>0</v>
      </c>
      <c r="I232" s="151">
        <f aca="true" t="shared" si="46" ref="I232:I237">1.05*16</f>
        <v>16.8</v>
      </c>
      <c r="J232" s="151">
        <f t="shared" si="41"/>
        <v>27.41</v>
      </c>
      <c r="K232" s="220">
        <f>MIN(J232:J234)</f>
        <v>12.010000000000002</v>
      </c>
      <c r="L232" s="218" t="s">
        <v>435</v>
      </c>
      <c r="M232" s="131"/>
      <c r="N232" s="219">
        <v>37</v>
      </c>
      <c r="O232" s="153" t="s">
        <v>607</v>
      </c>
      <c r="P232" s="154" t="s">
        <v>322</v>
      </c>
      <c r="Q232" s="155">
        <f>Q233+Q234</f>
        <v>2.0032</v>
      </c>
      <c r="R232" s="150">
        <f t="shared" si="40"/>
        <v>18.2532</v>
      </c>
      <c r="S232" s="151">
        <v>26.86</v>
      </c>
      <c r="T232" s="147">
        <v>120</v>
      </c>
      <c r="U232" s="151">
        <f t="shared" si="42"/>
        <v>-8.6068</v>
      </c>
      <c r="V232" s="147">
        <v>0</v>
      </c>
      <c r="W232" s="151">
        <f aca="true" t="shared" si="47" ref="W232:W237">1.05*16</f>
        <v>16.8</v>
      </c>
      <c r="X232" s="151">
        <f t="shared" si="43"/>
        <v>25.4068</v>
      </c>
      <c r="Y232" s="220">
        <f>MIN(X232:X234)</f>
        <v>10.0898</v>
      </c>
      <c r="Z232" s="218" t="s">
        <v>435</v>
      </c>
    </row>
    <row r="233" spans="1:26" s="24" customFormat="1" ht="36" customHeight="1">
      <c r="A233" s="221"/>
      <c r="B233" s="148" t="s">
        <v>439</v>
      </c>
      <c r="C233" s="149" t="s">
        <v>322</v>
      </c>
      <c r="D233" s="150">
        <v>2</v>
      </c>
      <c r="E233" s="151">
        <v>17.4</v>
      </c>
      <c r="F233" s="147">
        <v>0</v>
      </c>
      <c r="G233" s="151">
        <f t="shared" si="39"/>
        <v>-15.399999999999999</v>
      </c>
      <c r="H233" s="147">
        <v>0</v>
      </c>
      <c r="I233" s="151">
        <f t="shared" si="46"/>
        <v>16.8</v>
      </c>
      <c r="J233" s="151">
        <f t="shared" si="41"/>
        <v>32.2</v>
      </c>
      <c r="K233" s="220"/>
      <c r="L233" s="218"/>
      <c r="M233" s="131"/>
      <c r="N233" s="219"/>
      <c r="O233" s="153" t="s">
        <v>439</v>
      </c>
      <c r="P233" s="154" t="s">
        <v>322</v>
      </c>
      <c r="Q233" s="155">
        <f>Q55+Q67+Q93+Q391</f>
        <v>0.083</v>
      </c>
      <c r="R233" s="150">
        <f t="shared" si="40"/>
        <v>2.083</v>
      </c>
      <c r="S233" s="151">
        <v>17.4</v>
      </c>
      <c r="T233" s="147">
        <v>0</v>
      </c>
      <c r="U233" s="151">
        <f t="shared" si="42"/>
        <v>-15.316999999999998</v>
      </c>
      <c r="V233" s="147">
        <v>0</v>
      </c>
      <c r="W233" s="151">
        <f t="shared" si="47"/>
        <v>16.8</v>
      </c>
      <c r="X233" s="151">
        <f t="shared" si="43"/>
        <v>32.117</v>
      </c>
      <c r="Y233" s="220"/>
      <c r="Z233" s="218"/>
    </row>
    <row r="234" spans="1:26" s="24" customFormat="1" ht="36.75" customHeight="1">
      <c r="A234" s="221"/>
      <c r="B234" s="148" t="s">
        <v>442</v>
      </c>
      <c r="C234" s="149" t="s">
        <v>322</v>
      </c>
      <c r="D234" s="150">
        <v>14.25</v>
      </c>
      <c r="E234" s="151">
        <v>9.46</v>
      </c>
      <c r="F234" s="147"/>
      <c r="G234" s="151">
        <f t="shared" si="39"/>
        <v>4.789999999999999</v>
      </c>
      <c r="H234" s="147">
        <v>0</v>
      </c>
      <c r="I234" s="151">
        <f t="shared" si="46"/>
        <v>16.8</v>
      </c>
      <c r="J234" s="151">
        <f t="shared" si="41"/>
        <v>12.010000000000002</v>
      </c>
      <c r="K234" s="220"/>
      <c r="L234" s="218"/>
      <c r="M234" s="131"/>
      <c r="N234" s="219"/>
      <c r="O234" s="153" t="s">
        <v>442</v>
      </c>
      <c r="P234" s="154" t="s">
        <v>322</v>
      </c>
      <c r="Q234" s="155">
        <f>1.038+0.218+0.14+0.03+0.086+0.029+0.1442+0.137+0.098</f>
        <v>1.9202000000000001</v>
      </c>
      <c r="R234" s="150">
        <f t="shared" si="40"/>
        <v>16.1702</v>
      </c>
      <c r="S234" s="151">
        <v>9.46</v>
      </c>
      <c r="T234" s="147"/>
      <c r="U234" s="151">
        <f t="shared" si="42"/>
        <v>6.7102</v>
      </c>
      <c r="V234" s="147">
        <v>0</v>
      </c>
      <c r="W234" s="151">
        <f t="shared" si="47"/>
        <v>16.8</v>
      </c>
      <c r="X234" s="151">
        <f t="shared" si="43"/>
        <v>10.0898</v>
      </c>
      <c r="Y234" s="220"/>
      <c r="Z234" s="218"/>
    </row>
    <row r="235" spans="1:26" s="24" customFormat="1" ht="36" customHeight="1">
      <c r="A235" s="221">
        <v>38</v>
      </c>
      <c r="B235" s="148" t="s">
        <v>608</v>
      </c>
      <c r="C235" s="149" t="s">
        <v>323</v>
      </c>
      <c r="D235" s="150">
        <f>D236+D237</f>
        <v>11.35</v>
      </c>
      <c r="E235" s="151">
        <f>E236+E237</f>
        <v>15.5</v>
      </c>
      <c r="F235" s="147">
        <v>120</v>
      </c>
      <c r="G235" s="151">
        <f t="shared" si="39"/>
        <v>-4.15</v>
      </c>
      <c r="H235" s="147">
        <v>0</v>
      </c>
      <c r="I235" s="151">
        <f t="shared" si="46"/>
        <v>16.8</v>
      </c>
      <c r="J235" s="151">
        <f t="shared" si="41"/>
        <v>20.950000000000003</v>
      </c>
      <c r="K235" s="220">
        <f>MIN(J235:J237)</f>
        <v>14.38</v>
      </c>
      <c r="L235" s="218" t="s">
        <v>435</v>
      </c>
      <c r="M235" s="131"/>
      <c r="N235" s="219">
        <v>38</v>
      </c>
      <c r="O235" s="153" t="s">
        <v>608</v>
      </c>
      <c r="P235" s="154" t="s">
        <v>323</v>
      </c>
      <c r="Q235" s="155">
        <f>Q236+Q237</f>
        <v>0.9780000000000001</v>
      </c>
      <c r="R235" s="150">
        <f t="shared" si="40"/>
        <v>12.328</v>
      </c>
      <c r="S235" s="151">
        <v>15.5</v>
      </c>
      <c r="T235" s="147">
        <v>120</v>
      </c>
      <c r="U235" s="151">
        <f t="shared" si="42"/>
        <v>-3.1720000000000006</v>
      </c>
      <c r="V235" s="147">
        <v>0</v>
      </c>
      <c r="W235" s="151">
        <f t="shared" si="47"/>
        <v>16.8</v>
      </c>
      <c r="X235" s="151">
        <f t="shared" si="43"/>
        <v>19.972</v>
      </c>
      <c r="Y235" s="220">
        <f>MIN(X235:X237)</f>
        <v>13.641000000000002</v>
      </c>
      <c r="Z235" s="218" t="s">
        <v>435</v>
      </c>
    </row>
    <row r="236" spans="1:26" s="24" customFormat="1" ht="36" customHeight="1">
      <c r="A236" s="221"/>
      <c r="B236" s="148" t="s">
        <v>439</v>
      </c>
      <c r="C236" s="149">
        <v>16</v>
      </c>
      <c r="D236" s="150">
        <v>7.93</v>
      </c>
      <c r="E236" s="151">
        <v>14.5</v>
      </c>
      <c r="F236" s="147"/>
      <c r="G236" s="151">
        <f t="shared" si="39"/>
        <v>-6.57</v>
      </c>
      <c r="H236" s="147">
        <v>0</v>
      </c>
      <c r="I236" s="151">
        <f t="shared" si="46"/>
        <v>16.8</v>
      </c>
      <c r="J236" s="151">
        <f t="shared" si="41"/>
        <v>23.37</v>
      </c>
      <c r="K236" s="220"/>
      <c r="L236" s="218"/>
      <c r="M236" s="131"/>
      <c r="N236" s="219"/>
      <c r="O236" s="153" t="s">
        <v>439</v>
      </c>
      <c r="P236" s="154">
        <v>16</v>
      </c>
      <c r="Q236" s="155">
        <f>Q51+Q86+Q351+Q383</f>
        <v>0.23900000000000002</v>
      </c>
      <c r="R236" s="150">
        <f t="shared" si="40"/>
        <v>8.169</v>
      </c>
      <c r="S236" s="151">
        <v>14.5</v>
      </c>
      <c r="T236" s="147"/>
      <c r="U236" s="151">
        <f t="shared" si="42"/>
        <v>-6.3309999999999995</v>
      </c>
      <c r="V236" s="147">
        <v>0</v>
      </c>
      <c r="W236" s="151">
        <f t="shared" si="47"/>
        <v>16.8</v>
      </c>
      <c r="X236" s="151">
        <f t="shared" si="43"/>
        <v>23.131</v>
      </c>
      <c r="Y236" s="220"/>
      <c r="Z236" s="218"/>
    </row>
    <row r="237" spans="1:26" s="24" customFormat="1" ht="36.75" customHeight="1">
      <c r="A237" s="221"/>
      <c r="B237" s="148" t="s">
        <v>442</v>
      </c>
      <c r="C237" s="149">
        <v>16</v>
      </c>
      <c r="D237" s="150">
        <v>3.42</v>
      </c>
      <c r="E237" s="151">
        <v>1</v>
      </c>
      <c r="F237" s="147">
        <v>120</v>
      </c>
      <c r="G237" s="151">
        <f t="shared" si="39"/>
        <v>2.42</v>
      </c>
      <c r="H237" s="147">
        <v>0</v>
      </c>
      <c r="I237" s="151">
        <f t="shared" si="46"/>
        <v>16.8</v>
      </c>
      <c r="J237" s="151">
        <f t="shared" si="41"/>
        <v>14.38</v>
      </c>
      <c r="K237" s="220"/>
      <c r="L237" s="218"/>
      <c r="M237" s="131"/>
      <c r="N237" s="219"/>
      <c r="O237" s="153" t="s">
        <v>442</v>
      </c>
      <c r="P237" s="154">
        <v>16</v>
      </c>
      <c r="Q237" s="155">
        <f>0.333+0.121+0.044+0.035+0.067+0.076+0.003+0.035+0.025</f>
        <v>0.7390000000000001</v>
      </c>
      <c r="R237" s="150">
        <f t="shared" si="40"/>
        <v>4.159</v>
      </c>
      <c r="S237" s="151">
        <v>1</v>
      </c>
      <c r="T237" s="147">
        <v>120</v>
      </c>
      <c r="U237" s="151">
        <f t="shared" si="42"/>
        <v>3.159</v>
      </c>
      <c r="V237" s="147">
        <v>0</v>
      </c>
      <c r="W237" s="151">
        <f t="shared" si="47"/>
        <v>16.8</v>
      </c>
      <c r="X237" s="151">
        <f t="shared" si="43"/>
        <v>13.641000000000002</v>
      </c>
      <c r="Y237" s="220"/>
      <c r="Z237" s="218"/>
    </row>
    <row r="238" spans="1:26" s="24" customFormat="1" ht="36" customHeight="1">
      <c r="A238" s="221">
        <v>39</v>
      </c>
      <c r="B238" s="148" t="s">
        <v>609</v>
      </c>
      <c r="C238" s="149" t="s">
        <v>324</v>
      </c>
      <c r="D238" s="171">
        <f>D239+D240</f>
        <v>1.76</v>
      </c>
      <c r="E238" s="151">
        <f>E239+E240</f>
        <v>6.3100000000000005</v>
      </c>
      <c r="F238" s="147">
        <v>120</v>
      </c>
      <c r="G238" s="151">
        <f t="shared" si="39"/>
        <v>-4.550000000000001</v>
      </c>
      <c r="H238" s="147">
        <v>0</v>
      </c>
      <c r="I238" s="151">
        <f>1.05*6.3</f>
        <v>6.615</v>
      </c>
      <c r="J238" s="151">
        <f t="shared" si="41"/>
        <v>11.165000000000001</v>
      </c>
      <c r="K238" s="220">
        <f>MIN(J238:J240)</f>
        <v>7.415</v>
      </c>
      <c r="L238" s="218" t="s">
        <v>435</v>
      </c>
      <c r="M238" s="131"/>
      <c r="N238" s="219">
        <v>39</v>
      </c>
      <c r="O238" s="153" t="s">
        <v>609</v>
      </c>
      <c r="P238" s="154" t="s">
        <v>324</v>
      </c>
      <c r="Q238" s="155">
        <f>Q239+Q240</f>
        <v>0.1344</v>
      </c>
      <c r="R238" s="150">
        <f t="shared" si="40"/>
        <v>1.8944</v>
      </c>
      <c r="S238" s="151">
        <v>6.3100000000000005</v>
      </c>
      <c r="T238" s="147">
        <v>120</v>
      </c>
      <c r="U238" s="151">
        <f t="shared" si="42"/>
        <v>-4.4156</v>
      </c>
      <c r="V238" s="147">
        <v>0</v>
      </c>
      <c r="W238" s="151">
        <f>1.05*6.3</f>
        <v>6.615</v>
      </c>
      <c r="X238" s="151">
        <f t="shared" si="43"/>
        <v>11.0306</v>
      </c>
      <c r="Y238" s="220">
        <f>MIN(X238:X240)</f>
        <v>7.377000000000001</v>
      </c>
      <c r="Z238" s="218" t="s">
        <v>435</v>
      </c>
    </row>
    <row r="239" spans="1:26" s="24" customFormat="1" ht="36" customHeight="1">
      <c r="A239" s="221"/>
      <c r="B239" s="148" t="s">
        <v>439</v>
      </c>
      <c r="C239" s="149">
        <v>6.3</v>
      </c>
      <c r="D239" s="171">
        <v>1.25</v>
      </c>
      <c r="E239" s="151">
        <v>5</v>
      </c>
      <c r="F239" s="147">
        <v>120</v>
      </c>
      <c r="G239" s="151">
        <f t="shared" si="39"/>
        <v>-3.75</v>
      </c>
      <c r="H239" s="147">
        <v>0</v>
      </c>
      <c r="I239" s="151">
        <f>1.05*6.3</f>
        <v>6.615</v>
      </c>
      <c r="J239" s="151">
        <f t="shared" si="41"/>
        <v>10.365</v>
      </c>
      <c r="K239" s="220"/>
      <c r="L239" s="218"/>
      <c r="M239" s="131"/>
      <c r="N239" s="219"/>
      <c r="O239" s="153" t="s">
        <v>439</v>
      </c>
      <c r="P239" s="154">
        <v>6.3</v>
      </c>
      <c r="Q239" s="155">
        <f>Q78+Q103+Q110+Q109+Q112+Q331</f>
        <v>0.0964</v>
      </c>
      <c r="R239" s="150">
        <f t="shared" si="40"/>
        <v>1.3464</v>
      </c>
      <c r="S239" s="151">
        <v>5</v>
      </c>
      <c r="T239" s="147">
        <v>120</v>
      </c>
      <c r="U239" s="151">
        <f t="shared" si="42"/>
        <v>-3.6536</v>
      </c>
      <c r="V239" s="147">
        <v>0</v>
      </c>
      <c r="W239" s="151">
        <f>1.05*6.3</f>
        <v>6.615</v>
      </c>
      <c r="X239" s="151">
        <f t="shared" si="43"/>
        <v>10.2686</v>
      </c>
      <c r="Y239" s="220"/>
      <c r="Z239" s="218"/>
    </row>
    <row r="240" spans="1:26" s="24" customFormat="1" ht="36.75" customHeight="1">
      <c r="A240" s="221"/>
      <c r="B240" s="148" t="s">
        <v>442</v>
      </c>
      <c r="C240" s="149">
        <v>6.3</v>
      </c>
      <c r="D240" s="171">
        <v>0.51</v>
      </c>
      <c r="E240" s="151">
        <v>1.31</v>
      </c>
      <c r="F240" s="147">
        <v>120</v>
      </c>
      <c r="G240" s="151">
        <f t="shared" si="39"/>
        <v>-0.8</v>
      </c>
      <c r="H240" s="147">
        <v>0</v>
      </c>
      <c r="I240" s="151">
        <f>1.05*6.3</f>
        <v>6.615</v>
      </c>
      <c r="J240" s="151">
        <f t="shared" si="41"/>
        <v>7.415</v>
      </c>
      <c r="K240" s="220"/>
      <c r="L240" s="218"/>
      <c r="M240" s="131"/>
      <c r="N240" s="219"/>
      <c r="O240" s="153" t="s">
        <v>442</v>
      </c>
      <c r="P240" s="154">
        <v>6.3</v>
      </c>
      <c r="Q240" s="155">
        <f>0.025+0.013</f>
        <v>0.038</v>
      </c>
      <c r="R240" s="150">
        <f t="shared" si="40"/>
        <v>0.548</v>
      </c>
      <c r="S240" s="151">
        <v>1.31</v>
      </c>
      <c r="T240" s="147">
        <v>120</v>
      </c>
      <c r="U240" s="151">
        <f t="shared" si="42"/>
        <v>-0.762</v>
      </c>
      <c r="V240" s="147">
        <v>0</v>
      </c>
      <c r="W240" s="151">
        <f>1.05*6.3</f>
        <v>6.615</v>
      </c>
      <c r="X240" s="151">
        <f t="shared" si="43"/>
        <v>7.377000000000001</v>
      </c>
      <c r="Y240" s="220"/>
      <c r="Z240" s="218"/>
    </row>
    <row r="241" spans="1:26" s="24" customFormat="1" ht="15">
      <c r="A241" s="147">
        <v>40</v>
      </c>
      <c r="B241" s="148" t="s">
        <v>610</v>
      </c>
      <c r="C241" s="149" t="s">
        <v>325</v>
      </c>
      <c r="D241" s="150">
        <v>0.88</v>
      </c>
      <c r="E241" s="151">
        <v>0.1</v>
      </c>
      <c r="F241" s="147">
        <v>120</v>
      </c>
      <c r="G241" s="151">
        <f t="shared" si="39"/>
        <v>0.78</v>
      </c>
      <c r="H241" s="147">
        <v>0</v>
      </c>
      <c r="I241" s="151">
        <f>1.05*2.5</f>
        <v>2.625</v>
      </c>
      <c r="J241" s="151">
        <f t="shared" si="41"/>
        <v>1.845</v>
      </c>
      <c r="K241" s="151">
        <f>J241</f>
        <v>1.845</v>
      </c>
      <c r="L241" s="152" t="s">
        <v>435</v>
      </c>
      <c r="M241" s="131"/>
      <c r="N241" s="138">
        <v>40</v>
      </c>
      <c r="O241" s="153" t="s">
        <v>610</v>
      </c>
      <c r="P241" s="154" t="s">
        <v>325</v>
      </c>
      <c r="Q241" s="155">
        <f>0.03+0.005+0.008</f>
        <v>0.043</v>
      </c>
      <c r="R241" s="150">
        <f t="shared" si="40"/>
        <v>0.923</v>
      </c>
      <c r="S241" s="151">
        <v>0.1</v>
      </c>
      <c r="T241" s="147">
        <v>120</v>
      </c>
      <c r="U241" s="151">
        <f t="shared" si="42"/>
        <v>0.8230000000000001</v>
      </c>
      <c r="V241" s="147">
        <v>0</v>
      </c>
      <c r="W241" s="151">
        <f>1.05*2.5</f>
        <v>2.625</v>
      </c>
      <c r="X241" s="151">
        <f t="shared" si="43"/>
        <v>1.802</v>
      </c>
      <c r="Y241" s="151">
        <f>X241</f>
        <v>1.802</v>
      </c>
      <c r="Z241" s="152" t="s">
        <v>435</v>
      </c>
    </row>
    <row r="242" spans="1:26" s="24" customFormat="1" ht="36" customHeight="1">
      <c r="A242" s="221">
        <v>41</v>
      </c>
      <c r="B242" s="148" t="s">
        <v>611</v>
      </c>
      <c r="C242" s="149" t="s">
        <v>323</v>
      </c>
      <c r="D242" s="150">
        <f>D243+D244</f>
        <v>5.83</v>
      </c>
      <c r="E242" s="151">
        <f>E243+E244</f>
        <v>6.9</v>
      </c>
      <c r="F242" s="147">
        <v>120</v>
      </c>
      <c r="G242" s="151">
        <f t="shared" si="39"/>
        <v>-1.0700000000000003</v>
      </c>
      <c r="H242" s="147">
        <v>0</v>
      </c>
      <c r="I242" s="151">
        <f>1.05*16</f>
        <v>16.8</v>
      </c>
      <c r="J242" s="151">
        <f t="shared" si="41"/>
        <v>17.87</v>
      </c>
      <c r="K242" s="220">
        <f>MIN(J242:J244)</f>
        <v>17.3</v>
      </c>
      <c r="L242" s="218" t="s">
        <v>435</v>
      </c>
      <c r="M242" s="131"/>
      <c r="N242" s="219">
        <v>41</v>
      </c>
      <c r="O242" s="153" t="s">
        <v>611</v>
      </c>
      <c r="P242" s="154" t="s">
        <v>323</v>
      </c>
      <c r="Q242" s="155">
        <f>Q243+Q244</f>
        <v>0.5508</v>
      </c>
      <c r="R242" s="150">
        <f t="shared" si="40"/>
        <v>6.3808</v>
      </c>
      <c r="S242" s="151">
        <v>6.9</v>
      </c>
      <c r="T242" s="147">
        <v>120</v>
      </c>
      <c r="U242" s="151">
        <f t="shared" si="42"/>
        <v>-0.5192000000000005</v>
      </c>
      <c r="V242" s="147">
        <v>0</v>
      </c>
      <c r="W242" s="151">
        <f>1.05*16</f>
        <v>16.8</v>
      </c>
      <c r="X242" s="151">
        <f t="shared" si="43"/>
        <v>17.319200000000002</v>
      </c>
      <c r="Y242" s="220">
        <f>MIN(X242:X244)</f>
        <v>16.848200000000002</v>
      </c>
      <c r="Z242" s="218" t="s">
        <v>435</v>
      </c>
    </row>
    <row r="243" spans="1:26" s="24" customFormat="1" ht="36" customHeight="1">
      <c r="A243" s="221"/>
      <c r="B243" s="148" t="s">
        <v>439</v>
      </c>
      <c r="C243" s="149">
        <v>16</v>
      </c>
      <c r="D243" s="150">
        <v>3</v>
      </c>
      <c r="E243" s="151">
        <v>3.5</v>
      </c>
      <c r="F243" s="147"/>
      <c r="G243" s="151">
        <f t="shared" si="39"/>
        <v>-0.5</v>
      </c>
      <c r="H243" s="147">
        <v>0</v>
      </c>
      <c r="I243" s="151">
        <f>1.05*16</f>
        <v>16.8</v>
      </c>
      <c r="J243" s="151">
        <f t="shared" si="41"/>
        <v>17.3</v>
      </c>
      <c r="K243" s="220"/>
      <c r="L243" s="218"/>
      <c r="M243" s="131"/>
      <c r="N243" s="219"/>
      <c r="O243" s="153" t="s">
        <v>439</v>
      </c>
      <c r="P243" s="154">
        <v>16</v>
      </c>
      <c r="Q243" s="155">
        <f>Q63+Q124+Q330+Q345</f>
        <v>0.4518</v>
      </c>
      <c r="R243" s="150">
        <f t="shared" si="40"/>
        <v>3.4518</v>
      </c>
      <c r="S243" s="151">
        <v>3.5</v>
      </c>
      <c r="T243" s="147"/>
      <c r="U243" s="151">
        <f t="shared" si="42"/>
        <v>-0.04820000000000002</v>
      </c>
      <c r="V243" s="147">
        <v>0</v>
      </c>
      <c r="W243" s="151">
        <f>1.05*16</f>
        <v>16.8</v>
      </c>
      <c r="X243" s="151">
        <f t="shared" si="43"/>
        <v>16.848200000000002</v>
      </c>
      <c r="Y243" s="220"/>
      <c r="Z243" s="218"/>
    </row>
    <row r="244" spans="1:26" s="24" customFormat="1" ht="36.75" customHeight="1">
      <c r="A244" s="221"/>
      <c r="B244" s="148" t="s">
        <v>442</v>
      </c>
      <c r="C244" s="149">
        <v>16</v>
      </c>
      <c r="D244" s="150">
        <v>2.83</v>
      </c>
      <c r="E244" s="151">
        <v>3.4</v>
      </c>
      <c r="F244" s="147">
        <v>120</v>
      </c>
      <c r="G244" s="151">
        <f t="shared" si="39"/>
        <v>-0.5699999999999998</v>
      </c>
      <c r="H244" s="147">
        <v>0</v>
      </c>
      <c r="I244" s="151">
        <f>1.05*16</f>
        <v>16.8</v>
      </c>
      <c r="J244" s="151">
        <f t="shared" si="41"/>
        <v>17.37</v>
      </c>
      <c r="K244" s="220"/>
      <c r="L244" s="218"/>
      <c r="M244" s="131"/>
      <c r="N244" s="219"/>
      <c r="O244" s="153" t="s">
        <v>442</v>
      </c>
      <c r="P244" s="154">
        <v>16</v>
      </c>
      <c r="Q244" s="155">
        <f>0.02+0.006+0.015+0.008+0.015+0.012+0.015+0.008</f>
        <v>0.099</v>
      </c>
      <c r="R244" s="150">
        <f t="shared" si="40"/>
        <v>2.9290000000000003</v>
      </c>
      <c r="S244" s="151">
        <v>3.4</v>
      </c>
      <c r="T244" s="147">
        <v>120</v>
      </c>
      <c r="U244" s="151">
        <f t="shared" si="42"/>
        <v>-0.47099999999999964</v>
      </c>
      <c r="V244" s="147">
        <v>0</v>
      </c>
      <c r="W244" s="151">
        <f>1.05*16</f>
        <v>16.8</v>
      </c>
      <c r="X244" s="151">
        <f t="shared" si="43"/>
        <v>17.271</v>
      </c>
      <c r="Y244" s="220"/>
      <c r="Z244" s="218"/>
    </row>
    <row r="245" spans="1:26" s="27" customFormat="1" ht="36" customHeight="1">
      <c r="A245" s="221">
        <v>42</v>
      </c>
      <c r="B245" s="148" t="s">
        <v>612</v>
      </c>
      <c r="C245" s="149" t="s">
        <v>326</v>
      </c>
      <c r="D245" s="150">
        <f>D246+D247</f>
        <v>29.19</v>
      </c>
      <c r="E245" s="151">
        <v>6.5</v>
      </c>
      <c r="F245" s="147">
        <v>0</v>
      </c>
      <c r="G245" s="151">
        <f t="shared" si="39"/>
        <v>22.69</v>
      </c>
      <c r="H245" s="147">
        <v>0</v>
      </c>
      <c r="I245" s="151">
        <f>1.05*25</f>
        <v>26.25</v>
      </c>
      <c r="J245" s="151">
        <f t="shared" si="41"/>
        <v>3.5599999999999987</v>
      </c>
      <c r="K245" s="220">
        <f>MIN(J245:J247)</f>
        <v>3.5599999999999987</v>
      </c>
      <c r="L245" s="224" t="s">
        <v>435</v>
      </c>
      <c r="M245" s="131"/>
      <c r="N245" s="219">
        <v>42</v>
      </c>
      <c r="O245" s="153" t="s">
        <v>612</v>
      </c>
      <c r="P245" s="154" t="s">
        <v>326</v>
      </c>
      <c r="Q245" s="155">
        <f>Q246+Q247</f>
        <v>1.8</v>
      </c>
      <c r="R245" s="150">
        <f t="shared" si="40"/>
        <v>30.990000000000002</v>
      </c>
      <c r="S245" s="151">
        <v>6.5</v>
      </c>
      <c r="T245" s="147">
        <v>0</v>
      </c>
      <c r="U245" s="151">
        <f t="shared" si="42"/>
        <v>24.490000000000002</v>
      </c>
      <c r="V245" s="147">
        <v>0</v>
      </c>
      <c r="W245" s="151">
        <f>1.05*25</f>
        <v>26.25</v>
      </c>
      <c r="X245" s="151">
        <f t="shared" si="43"/>
        <v>1.759999999999998</v>
      </c>
      <c r="Y245" s="220">
        <f>MIN(X245:X247)</f>
        <v>1.759999999999998</v>
      </c>
      <c r="Z245" s="224" t="s">
        <v>435</v>
      </c>
    </row>
    <row r="246" spans="1:26" s="27" customFormat="1" ht="36" customHeight="1">
      <c r="A246" s="221"/>
      <c r="B246" s="148" t="s">
        <v>439</v>
      </c>
      <c r="C246" s="149">
        <v>25</v>
      </c>
      <c r="D246" s="150">
        <v>0</v>
      </c>
      <c r="E246" s="151"/>
      <c r="F246" s="147"/>
      <c r="G246" s="151">
        <f t="shared" si="39"/>
        <v>0</v>
      </c>
      <c r="H246" s="147">
        <v>0</v>
      </c>
      <c r="I246" s="151">
        <f>1.05*25</f>
        <v>26.25</v>
      </c>
      <c r="J246" s="151">
        <f t="shared" si="41"/>
        <v>26.25</v>
      </c>
      <c r="K246" s="220"/>
      <c r="L246" s="224"/>
      <c r="M246" s="131"/>
      <c r="N246" s="219"/>
      <c r="O246" s="153" t="s">
        <v>439</v>
      </c>
      <c r="P246" s="154">
        <v>25</v>
      </c>
      <c r="Q246" s="155"/>
      <c r="R246" s="150">
        <f t="shared" si="40"/>
        <v>0</v>
      </c>
      <c r="S246" s="151"/>
      <c r="T246" s="147"/>
      <c r="U246" s="151">
        <f t="shared" si="42"/>
        <v>0</v>
      </c>
      <c r="V246" s="147">
        <v>0</v>
      </c>
      <c r="W246" s="151">
        <f>1.05*25</f>
        <v>26.25</v>
      </c>
      <c r="X246" s="151">
        <f t="shared" si="43"/>
        <v>26.25</v>
      </c>
      <c r="Y246" s="220"/>
      <c r="Z246" s="224"/>
    </row>
    <row r="247" spans="1:26" s="27" customFormat="1" ht="36.75" customHeight="1">
      <c r="A247" s="221"/>
      <c r="B247" s="148" t="s">
        <v>442</v>
      </c>
      <c r="C247" s="149">
        <v>25</v>
      </c>
      <c r="D247" s="150">
        <v>29.19</v>
      </c>
      <c r="E247" s="151">
        <v>6.5</v>
      </c>
      <c r="F247" s="147">
        <v>0</v>
      </c>
      <c r="G247" s="151">
        <f t="shared" si="39"/>
        <v>22.69</v>
      </c>
      <c r="H247" s="147">
        <v>0</v>
      </c>
      <c r="I247" s="151">
        <f>1.05*25</f>
        <v>26.25</v>
      </c>
      <c r="J247" s="151">
        <f t="shared" si="41"/>
        <v>3.5599999999999987</v>
      </c>
      <c r="K247" s="220"/>
      <c r="L247" s="224"/>
      <c r="M247" s="131"/>
      <c r="N247" s="219"/>
      <c r="O247" s="153" t="s">
        <v>442</v>
      </c>
      <c r="P247" s="154">
        <v>25</v>
      </c>
      <c r="Q247" s="155">
        <f>0.9+0.9</f>
        <v>1.8</v>
      </c>
      <c r="R247" s="150">
        <f aca="true" t="shared" si="48" ref="R247:R281">Q247+D247</f>
        <v>30.990000000000002</v>
      </c>
      <c r="S247" s="151">
        <v>6.5</v>
      </c>
      <c r="T247" s="147">
        <v>0</v>
      </c>
      <c r="U247" s="151">
        <f t="shared" si="42"/>
        <v>24.490000000000002</v>
      </c>
      <c r="V247" s="147">
        <v>0</v>
      </c>
      <c r="W247" s="151">
        <f>1.05*25</f>
        <v>26.25</v>
      </c>
      <c r="X247" s="151">
        <f t="shared" si="43"/>
        <v>1.759999999999998</v>
      </c>
      <c r="Y247" s="220"/>
      <c r="Z247" s="224"/>
    </row>
    <row r="248" spans="1:26" s="24" customFormat="1" ht="15">
      <c r="A248" s="147">
        <v>43</v>
      </c>
      <c r="B248" s="148" t="s">
        <v>613</v>
      </c>
      <c r="C248" s="149" t="s">
        <v>327</v>
      </c>
      <c r="D248" s="150">
        <v>47.78</v>
      </c>
      <c r="E248" s="151">
        <v>0</v>
      </c>
      <c r="F248" s="147">
        <v>0</v>
      </c>
      <c r="G248" s="151">
        <f t="shared" si="39"/>
        <v>47.78</v>
      </c>
      <c r="H248" s="147">
        <v>0</v>
      </c>
      <c r="I248" s="151">
        <f>1.05*63</f>
        <v>66.15</v>
      </c>
      <c r="J248" s="151">
        <f t="shared" si="41"/>
        <v>18.370000000000005</v>
      </c>
      <c r="K248" s="151">
        <f>J248</f>
        <v>18.370000000000005</v>
      </c>
      <c r="L248" s="152" t="s">
        <v>435</v>
      </c>
      <c r="M248" s="131"/>
      <c r="N248" s="138">
        <v>43</v>
      </c>
      <c r="O248" s="153" t="s">
        <v>613</v>
      </c>
      <c r="P248" s="154" t="s">
        <v>327</v>
      </c>
      <c r="Q248" s="155"/>
      <c r="R248" s="150">
        <f t="shared" si="48"/>
        <v>47.78</v>
      </c>
      <c r="S248" s="151">
        <v>0</v>
      </c>
      <c r="T248" s="147">
        <v>0</v>
      </c>
      <c r="U248" s="151">
        <f t="shared" si="42"/>
        <v>47.78</v>
      </c>
      <c r="V248" s="147">
        <v>0</v>
      </c>
      <c r="W248" s="151">
        <f>1.05*63</f>
        <v>66.15</v>
      </c>
      <c r="X248" s="151">
        <f t="shared" si="43"/>
        <v>18.370000000000005</v>
      </c>
      <c r="Y248" s="151">
        <f>X248</f>
        <v>18.370000000000005</v>
      </c>
      <c r="Z248" s="152" t="s">
        <v>435</v>
      </c>
    </row>
    <row r="249" spans="1:26" s="24" customFormat="1" ht="15">
      <c r="A249" s="147">
        <v>44</v>
      </c>
      <c r="B249" s="148" t="s">
        <v>614</v>
      </c>
      <c r="C249" s="149" t="s">
        <v>328</v>
      </c>
      <c r="D249" s="150">
        <v>6.58</v>
      </c>
      <c r="E249" s="151">
        <v>0.32</v>
      </c>
      <c r="F249" s="147">
        <v>0</v>
      </c>
      <c r="G249" s="151">
        <f t="shared" si="39"/>
        <v>6.26</v>
      </c>
      <c r="H249" s="147">
        <v>0</v>
      </c>
      <c r="I249" s="151">
        <f>1.05*6.3</f>
        <v>6.615</v>
      </c>
      <c r="J249" s="151">
        <f>I249-H249-G249</f>
        <v>0.3550000000000004</v>
      </c>
      <c r="K249" s="151">
        <f>J249</f>
        <v>0.3550000000000004</v>
      </c>
      <c r="L249" s="152" t="s">
        <v>435</v>
      </c>
      <c r="M249" s="131"/>
      <c r="N249" s="187">
        <v>44</v>
      </c>
      <c r="O249" s="188" t="s">
        <v>614</v>
      </c>
      <c r="P249" s="143" t="s">
        <v>328</v>
      </c>
      <c r="Q249" s="155">
        <f>0.078+0.005+0.05+0.09+0.039+0.07+0.01</f>
        <v>0.342</v>
      </c>
      <c r="R249" s="150">
        <f t="shared" si="48"/>
        <v>6.922</v>
      </c>
      <c r="S249" s="151">
        <v>0.32</v>
      </c>
      <c r="T249" s="157">
        <v>0</v>
      </c>
      <c r="U249" s="150">
        <f t="shared" si="42"/>
        <v>6.601999999999999</v>
      </c>
      <c r="V249" s="157">
        <v>0</v>
      </c>
      <c r="W249" s="150">
        <f>1.05*6.3</f>
        <v>6.615</v>
      </c>
      <c r="X249" s="150">
        <f t="shared" si="43"/>
        <v>0.013000000000000789</v>
      </c>
      <c r="Y249" s="150">
        <f>X249</f>
        <v>0.013000000000000789</v>
      </c>
      <c r="Z249" s="152" t="s">
        <v>435</v>
      </c>
    </row>
    <row r="250" spans="1:26" s="24" customFormat="1" ht="36" customHeight="1">
      <c r="A250" s="221">
        <v>45</v>
      </c>
      <c r="B250" s="148" t="s">
        <v>615</v>
      </c>
      <c r="C250" s="149" t="s">
        <v>329</v>
      </c>
      <c r="D250" s="150">
        <f>D251+D252</f>
        <v>3.2</v>
      </c>
      <c r="E250" s="151">
        <v>15.7</v>
      </c>
      <c r="F250" s="147">
        <v>120</v>
      </c>
      <c r="G250" s="151">
        <f t="shared" si="39"/>
        <v>-12.5</v>
      </c>
      <c r="H250" s="147">
        <v>0</v>
      </c>
      <c r="I250" s="151">
        <f>1.05*10</f>
        <v>10.5</v>
      </c>
      <c r="J250" s="151">
        <f t="shared" si="41"/>
        <v>23</v>
      </c>
      <c r="K250" s="220">
        <f>MIN(J250:J252)</f>
        <v>15.5</v>
      </c>
      <c r="L250" s="218" t="s">
        <v>435</v>
      </c>
      <c r="M250" s="131"/>
      <c r="N250" s="219">
        <v>45</v>
      </c>
      <c r="O250" s="153" t="s">
        <v>615</v>
      </c>
      <c r="P250" s="154" t="s">
        <v>329</v>
      </c>
      <c r="Q250" s="155">
        <f>Q251+Q252</f>
        <v>0.009</v>
      </c>
      <c r="R250" s="150">
        <f t="shared" si="48"/>
        <v>3.209</v>
      </c>
      <c r="S250" s="151">
        <v>15.7</v>
      </c>
      <c r="T250" s="147">
        <v>120</v>
      </c>
      <c r="U250" s="151">
        <f t="shared" si="42"/>
        <v>-12.491</v>
      </c>
      <c r="V250" s="147">
        <v>0</v>
      </c>
      <c r="W250" s="151">
        <f>1.05*10</f>
        <v>10.5</v>
      </c>
      <c r="X250" s="151">
        <f t="shared" si="43"/>
        <v>22.991</v>
      </c>
      <c r="Y250" s="220">
        <f>MIN(X250:X252)</f>
        <v>15.491</v>
      </c>
      <c r="Z250" s="218" t="s">
        <v>435</v>
      </c>
    </row>
    <row r="251" spans="1:26" s="24" customFormat="1" ht="36" customHeight="1">
      <c r="A251" s="221"/>
      <c r="B251" s="148" t="s">
        <v>439</v>
      </c>
      <c r="C251" s="149">
        <v>10</v>
      </c>
      <c r="D251" s="150">
        <v>1.8</v>
      </c>
      <c r="E251" s="151">
        <v>9.3</v>
      </c>
      <c r="F251" s="147"/>
      <c r="G251" s="151">
        <f t="shared" si="39"/>
        <v>-7.500000000000001</v>
      </c>
      <c r="H251" s="147">
        <v>0</v>
      </c>
      <c r="I251" s="151">
        <f>1.05*10</f>
        <v>10.5</v>
      </c>
      <c r="J251" s="151">
        <f t="shared" si="41"/>
        <v>18</v>
      </c>
      <c r="K251" s="220"/>
      <c r="L251" s="218"/>
      <c r="M251" s="131"/>
      <c r="N251" s="219"/>
      <c r="O251" s="153" t="s">
        <v>439</v>
      </c>
      <c r="P251" s="154">
        <v>10</v>
      </c>
      <c r="Q251" s="155">
        <v>0</v>
      </c>
      <c r="R251" s="150">
        <f t="shared" si="48"/>
        <v>1.8</v>
      </c>
      <c r="S251" s="151">
        <v>9.3</v>
      </c>
      <c r="T251" s="147"/>
      <c r="U251" s="151">
        <f t="shared" si="42"/>
        <v>-7.500000000000001</v>
      </c>
      <c r="V251" s="147">
        <v>0</v>
      </c>
      <c r="W251" s="151">
        <f>1.05*10</f>
        <v>10.5</v>
      </c>
      <c r="X251" s="151">
        <f t="shared" si="43"/>
        <v>18</v>
      </c>
      <c r="Y251" s="220"/>
      <c r="Z251" s="218"/>
    </row>
    <row r="252" spans="1:26" s="24" customFormat="1" ht="36.75" customHeight="1">
      <c r="A252" s="221"/>
      <c r="B252" s="148" t="s">
        <v>442</v>
      </c>
      <c r="C252" s="149">
        <v>10</v>
      </c>
      <c r="D252" s="150">
        <v>1.4</v>
      </c>
      <c r="E252" s="151">
        <v>6.4</v>
      </c>
      <c r="F252" s="147"/>
      <c r="G252" s="151">
        <f t="shared" si="39"/>
        <v>-5</v>
      </c>
      <c r="H252" s="147">
        <v>0</v>
      </c>
      <c r="I252" s="151">
        <f>1.05*10</f>
        <v>10.5</v>
      </c>
      <c r="J252" s="151">
        <f t="shared" si="41"/>
        <v>15.5</v>
      </c>
      <c r="K252" s="220"/>
      <c r="L252" s="218"/>
      <c r="M252" s="131"/>
      <c r="N252" s="219"/>
      <c r="O252" s="153" t="s">
        <v>442</v>
      </c>
      <c r="P252" s="154">
        <v>10</v>
      </c>
      <c r="Q252" s="155">
        <v>0.009</v>
      </c>
      <c r="R252" s="150">
        <f t="shared" si="48"/>
        <v>1.4089999999999998</v>
      </c>
      <c r="S252" s="151">
        <v>6.4</v>
      </c>
      <c r="T252" s="147"/>
      <c r="U252" s="151">
        <f t="shared" si="42"/>
        <v>-4.9910000000000005</v>
      </c>
      <c r="V252" s="147">
        <v>0</v>
      </c>
      <c r="W252" s="151">
        <f>1.05*10</f>
        <v>10.5</v>
      </c>
      <c r="X252" s="151">
        <f t="shared" si="43"/>
        <v>15.491</v>
      </c>
      <c r="Y252" s="220"/>
      <c r="Z252" s="218"/>
    </row>
    <row r="253" spans="1:26" s="24" customFormat="1" ht="36" customHeight="1">
      <c r="A253" s="221">
        <v>46</v>
      </c>
      <c r="B253" s="148" t="s">
        <v>616</v>
      </c>
      <c r="C253" s="149" t="s">
        <v>324</v>
      </c>
      <c r="D253" s="150">
        <f>D254+D255</f>
        <v>0.55</v>
      </c>
      <c r="E253" s="151">
        <f>E254+E255</f>
        <v>5.890000000000001</v>
      </c>
      <c r="F253" s="147" t="s">
        <v>437</v>
      </c>
      <c r="G253" s="151">
        <f t="shared" si="39"/>
        <v>-5.340000000000001</v>
      </c>
      <c r="H253" s="147">
        <v>0</v>
      </c>
      <c r="I253" s="151">
        <f aca="true" t="shared" si="49" ref="I253:I258">1.05*6.3</f>
        <v>6.615</v>
      </c>
      <c r="J253" s="151">
        <f t="shared" si="41"/>
        <v>11.955000000000002</v>
      </c>
      <c r="K253" s="220">
        <f>MIN(J253:J255)</f>
        <v>8.655000000000001</v>
      </c>
      <c r="L253" s="218" t="s">
        <v>435</v>
      </c>
      <c r="M253" s="131"/>
      <c r="N253" s="219">
        <v>46</v>
      </c>
      <c r="O253" s="153" t="s">
        <v>616</v>
      </c>
      <c r="P253" s="154" t="s">
        <v>324</v>
      </c>
      <c r="Q253" s="155">
        <f>Q254+Q255</f>
        <v>0.028</v>
      </c>
      <c r="R253" s="150">
        <f t="shared" si="48"/>
        <v>0.5780000000000001</v>
      </c>
      <c r="S253" s="151">
        <v>5.890000000000001</v>
      </c>
      <c r="T253" s="147" t="s">
        <v>437</v>
      </c>
      <c r="U253" s="151">
        <f t="shared" si="42"/>
        <v>-5.312</v>
      </c>
      <c r="V253" s="147">
        <v>0</v>
      </c>
      <c r="W253" s="151">
        <f aca="true" t="shared" si="50" ref="W253:W258">1.05*6.3</f>
        <v>6.615</v>
      </c>
      <c r="X253" s="151">
        <f t="shared" si="43"/>
        <v>11.927</v>
      </c>
      <c r="Y253" s="220">
        <f>MIN(X253:X255)</f>
        <v>8.655000000000001</v>
      </c>
      <c r="Z253" s="218" t="s">
        <v>435</v>
      </c>
    </row>
    <row r="254" spans="1:26" s="24" customFormat="1" ht="36" customHeight="1">
      <c r="A254" s="221"/>
      <c r="B254" s="148" t="s">
        <v>439</v>
      </c>
      <c r="C254" s="149">
        <v>6.3</v>
      </c>
      <c r="D254" s="150">
        <v>0.44</v>
      </c>
      <c r="E254" s="151">
        <v>3.74</v>
      </c>
      <c r="F254" s="147" t="s">
        <v>437</v>
      </c>
      <c r="G254" s="151">
        <f t="shared" si="39"/>
        <v>-3.3000000000000003</v>
      </c>
      <c r="H254" s="147">
        <v>0</v>
      </c>
      <c r="I254" s="151">
        <f t="shared" si="49"/>
        <v>6.615</v>
      </c>
      <c r="J254" s="151">
        <f t="shared" si="41"/>
        <v>9.915000000000001</v>
      </c>
      <c r="K254" s="220"/>
      <c r="L254" s="218"/>
      <c r="M254" s="131"/>
      <c r="N254" s="219"/>
      <c r="O254" s="153" t="s">
        <v>439</v>
      </c>
      <c r="P254" s="154">
        <v>6.3</v>
      </c>
      <c r="Q254" s="155">
        <f>Q297</f>
        <v>0.028</v>
      </c>
      <c r="R254" s="150">
        <f t="shared" si="48"/>
        <v>0.468</v>
      </c>
      <c r="S254" s="151">
        <v>3.74</v>
      </c>
      <c r="T254" s="147" t="s">
        <v>437</v>
      </c>
      <c r="U254" s="151">
        <f t="shared" si="42"/>
        <v>-3.2720000000000002</v>
      </c>
      <c r="V254" s="147">
        <v>0</v>
      </c>
      <c r="W254" s="151">
        <f t="shared" si="50"/>
        <v>6.615</v>
      </c>
      <c r="X254" s="151">
        <f t="shared" si="43"/>
        <v>9.887</v>
      </c>
      <c r="Y254" s="220"/>
      <c r="Z254" s="218"/>
    </row>
    <row r="255" spans="1:26" s="24" customFormat="1" ht="36.75" customHeight="1">
      <c r="A255" s="221"/>
      <c r="B255" s="148" t="s">
        <v>442</v>
      </c>
      <c r="C255" s="149">
        <v>6.3</v>
      </c>
      <c r="D255" s="150">
        <v>0.11</v>
      </c>
      <c r="E255" s="151">
        <v>2.15</v>
      </c>
      <c r="F255" s="147" t="s">
        <v>437</v>
      </c>
      <c r="G255" s="151">
        <f t="shared" si="39"/>
        <v>-2.04</v>
      </c>
      <c r="H255" s="147">
        <v>0</v>
      </c>
      <c r="I255" s="151">
        <f t="shared" si="49"/>
        <v>6.615</v>
      </c>
      <c r="J255" s="151">
        <f t="shared" si="41"/>
        <v>8.655000000000001</v>
      </c>
      <c r="K255" s="220"/>
      <c r="L255" s="218"/>
      <c r="M255" s="131"/>
      <c r="N255" s="219"/>
      <c r="O255" s="153" t="s">
        <v>442</v>
      </c>
      <c r="P255" s="154">
        <v>6.3</v>
      </c>
      <c r="Q255" s="155"/>
      <c r="R255" s="150">
        <f t="shared" si="48"/>
        <v>0.11</v>
      </c>
      <c r="S255" s="151">
        <v>2.15</v>
      </c>
      <c r="T255" s="147" t="s">
        <v>437</v>
      </c>
      <c r="U255" s="151">
        <f t="shared" si="42"/>
        <v>-2.04</v>
      </c>
      <c r="V255" s="147">
        <v>0</v>
      </c>
      <c r="W255" s="151">
        <f t="shared" si="50"/>
        <v>6.615</v>
      </c>
      <c r="X255" s="151">
        <f t="shared" si="43"/>
        <v>8.655000000000001</v>
      </c>
      <c r="Y255" s="220"/>
      <c r="Z255" s="218"/>
    </row>
    <row r="256" spans="1:26" s="24" customFormat="1" ht="36" customHeight="1">
      <c r="A256" s="221">
        <v>47</v>
      </c>
      <c r="B256" s="148" t="s">
        <v>617</v>
      </c>
      <c r="C256" s="149" t="s">
        <v>328</v>
      </c>
      <c r="D256" s="150">
        <f>D257+D258</f>
        <v>2.8</v>
      </c>
      <c r="E256" s="151">
        <f>E257+E258</f>
        <v>21.400000000000002</v>
      </c>
      <c r="F256" s="147">
        <v>45</v>
      </c>
      <c r="G256" s="151">
        <f t="shared" si="39"/>
        <v>-18.6</v>
      </c>
      <c r="H256" s="147">
        <v>0</v>
      </c>
      <c r="I256" s="151">
        <f t="shared" si="49"/>
        <v>6.615</v>
      </c>
      <c r="J256" s="151">
        <f t="shared" si="41"/>
        <v>25.215000000000003</v>
      </c>
      <c r="K256" s="220">
        <f>MIN(J256:J258)</f>
        <v>9.195</v>
      </c>
      <c r="L256" s="218" t="s">
        <v>435</v>
      </c>
      <c r="M256" s="131"/>
      <c r="N256" s="219">
        <v>47</v>
      </c>
      <c r="O256" s="153" t="s">
        <v>617</v>
      </c>
      <c r="P256" s="154" t="s">
        <v>328</v>
      </c>
      <c r="Q256" s="155">
        <f>Q257+Q258</f>
        <v>1.6380000000000001</v>
      </c>
      <c r="R256" s="150">
        <f t="shared" si="48"/>
        <v>4.438</v>
      </c>
      <c r="S256" s="151">
        <v>21.400000000000002</v>
      </c>
      <c r="T256" s="147">
        <v>45</v>
      </c>
      <c r="U256" s="151">
        <f t="shared" si="42"/>
        <v>-16.962000000000003</v>
      </c>
      <c r="V256" s="147">
        <v>0</v>
      </c>
      <c r="W256" s="151">
        <f t="shared" si="50"/>
        <v>6.615</v>
      </c>
      <c r="X256" s="151">
        <f t="shared" si="43"/>
        <v>23.577000000000005</v>
      </c>
      <c r="Y256" s="220">
        <f>MIN(X256:X258)</f>
        <v>9.077</v>
      </c>
      <c r="Z256" s="218" t="s">
        <v>435</v>
      </c>
    </row>
    <row r="257" spans="1:26" s="24" customFormat="1" ht="36" customHeight="1">
      <c r="A257" s="221"/>
      <c r="B257" s="148" t="s">
        <v>439</v>
      </c>
      <c r="C257" s="149" t="s">
        <v>328</v>
      </c>
      <c r="D257" s="150">
        <v>1.78</v>
      </c>
      <c r="E257" s="151">
        <v>17.8</v>
      </c>
      <c r="F257" s="147"/>
      <c r="G257" s="151">
        <f t="shared" si="39"/>
        <v>-16.02</v>
      </c>
      <c r="H257" s="147">
        <v>0</v>
      </c>
      <c r="I257" s="151">
        <f t="shared" si="49"/>
        <v>6.615</v>
      </c>
      <c r="J257" s="151">
        <f t="shared" si="41"/>
        <v>22.634999999999998</v>
      </c>
      <c r="K257" s="220"/>
      <c r="L257" s="218"/>
      <c r="M257" s="131"/>
      <c r="N257" s="219"/>
      <c r="O257" s="153" t="s">
        <v>439</v>
      </c>
      <c r="P257" s="154" t="s">
        <v>328</v>
      </c>
      <c r="Q257" s="155">
        <f>Q119+Q143+Q343+Q364</f>
        <v>1.52</v>
      </c>
      <c r="R257" s="150">
        <f t="shared" si="48"/>
        <v>3.3</v>
      </c>
      <c r="S257" s="151">
        <v>17.8</v>
      </c>
      <c r="T257" s="147"/>
      <c r="U257" s="151">
        <f t="shared" si="42"/>
        <v>-14.5</v>
      </c>
      <c r="V257" s="147">
        <v>0</v>
      </c>
      <c r="W257" s="151">
        <f t="shared" si="50"/>
        <v>6.615</v>
      </c>
      <c r="X257" s="151">
        <f t="shared" si="43"/>
        <v>21.115000000000002</v>
      </c>
      <c r="Y257" s="220"/>
      <c r="Z257" s="218"/>
    </row>
    <row r="258" spans="1:26" s="24" customFormat="1" ht="36.75" customHeight="1">
      <c r="A258" s="221"/>
      <c r="B258" s="148" t="s">
        <v>442</v>
      </c>
      <c r="C258" s="149" t="s">
        <v>328</v>
      </c>
      <c r="D258" s="150">
        <v>1.02</v>
      </c>
      <c r="E258" s="151">
        <v>3.6</v>
      </c>
      <c r="F258" s="147">
        <v>45</v>
      </c>
      <c r="G258" s="151">
        <f t="shared" si="39"/>
        <v>-2.58</v>
      </c>
      <c r="H258" s="147">
        <v>0</v>
      </c>
      <c r="I258" s="151">
        <f t="shared" si="49"/>
        <v>6.615</v>
      </c>
      <c r="J258" s="151">
        <f t="shared" si="41"/>
        <v>9.195</v>
      </c>
      <c r="K258" s="220"/>
      <c r="L258" s="218"/>
      <c r="M258" s="131"/>
      <c r="N258" s="219"/>
      <c r="O258" s="153" t="s">
        <v>442</v>
      </c>
      <c r="P258" s="154" t="s">
        <v>328</v>
      </c>
      <c r="Q258" s="155">
        <f>0.098+0.005+0.015</f>
        <v>0.11800000000000001</v>
      </c>
      <c r="R258" s="150">
        <f t="shared" si="48"/>
        <v>1.1380000000000001</v>
      </c>
      <c r="S258" s="151">
        <v>3.6</v>
      </c>
      <c r="T258" s="147">
        <v>45</v>
      </c>
      <c r="U258" s="151">
        <f t="shared" si="42"/>
        <v>-2.4619999999999997</v>
      </c>
      <c r="V258" s="147">
        <v>0</v>
      </c>
      <c r="W258" s="151">
        <f t="shared" si="50"/>
        <v>6.615</v>
      </c>
      <c r="X258" s="151">
        <f t="shared" si="43"/>
        <v>9.077</v>
      </c>
      <c r="Y258" s="220"/>
      <c r="Z258" s="218"/>
    </row>
    <row r="259" spans="1:26" s="24" customFormat="1" ht="36" customHeight="1">
      <c r="A259" s="221">
        <v>48</v>
      </c>
      <c r="B259" s="148" t="s">
        <v>618</v>
      </c>
      <c r="C259" s="149" t="s">
        <v>330</v>
      </c>
      <c r="D259" s="171">
        <f>D260+D261</f>
        <v>19.35</v>
      </c>
      <c r="E259" s="151">
        <f>E260+E261</f>
        <v>3.25</v>
      </c>
      <c r="F259" s="147">
        <v>10</v>
      </c>
      <c r="G259" s="151">
        <f t="shared" si="39"/>
        <v>16.1</v>
      </c>
      <c r="H259" s="147">
        <v>0</v>
      </c>
      <c r="I259" s="151">
        <f>1.05*31.5</f>
        <v>33.075</v>
      </c>
      <c r="J259" s="151">
        <f t="shared" si="41"/>
        <v>16.975</v>
      </c>
      <c r="K259" s="220">
        <f>MIN(J259:J261)</f>
        <v>16.975</v>
      </c>
      <c r="L259" s="218" t="s">
        <v>435</v>
      </c>
      <c r="M259" s="131"/>
      <c r="N259" s="219">
        <v>48</v>
      </c>
      <c r="O259" s="153" t="s">
        <v>618</v>
      </c>
      <c r="P259" s="154" t="s">
        <v>330</v>
      </c>
      <c r="Q259" s="155">
        <f>Q260+Q261</f>
        <v>1.3593000000000002</v>
      </c>
      <c r="R259" s="150">
        <f t="shared" si="48"/>
        <v>20.709300000000002</v>
      </c>
      <c r="S259" s="151">
        <v>3.25</v>
      </c>
      <c r="T259" s="147">
        <v>10</v>
      </c>
      <c r="U259" s="151">
        <f t="shared" si="42"/>
        <v>17.459300000000002</v>
      </c>
      <c r="V259" s="147">
        <v>0</v>
      </c>
      <c r="W259" s="151">
        <f>1.05*31.5</f>
        <v>33.075</v>
      </c>
      <c r="X259" s="151">
        <f t="shared" si="43"/>
        <v>15.6157</v>
      </c>
      <c r="Y259" s="220">
        <f>MIN(X259:X261)</f>
        <v>15.6157</v>
      </c>
      <c r="Z259" s="218" t="s">
        <v>435</v>
      </c>
    </row>
    <row r="260" spans="1:26" s="24" customFormat="1" ht="36" customHeight="1">
      <c r="A260" s="221"/>
      <c r="B260" s="148" t="s">
        <v>439</v>
      </c>
      <c r="C260" s="149">
        <v>31.5</v>
      </c>
      <c r="D260" s="171">
        <v>13</v>
      </c>
      <c r="E260" s="151">
        <v>1.7</v>
      </c>
      <c r="F260" s="147"/>
      <c r="G260" s="151">
        <f t="shared" si="39"/>
        <v>11.3</v>
      </c>
      <c r="H260" s="147">
        <v>0</v>
      </c>
      <c r="I260" s="151">
        <f>1.05*31.5</f>
        <v>33.075</v>
      </c>
      <c r="J260" s="151">
        <f t="shared" si="41"/>
        <v>21.775000000000002</v>
      </c>
      <c r="K260" s="220"/>
      <c r="L260" s="218"/>
      <c r="M260" s="131"/>
      <c r="N260" s="219"/>
      <c r="O260" s="153" t="s">
        <v>439</v>
      </c>
      <c r="P260" s="154">
        <v>31.5</v>
      </c>
      <c r="Q260" s="155">
        <f>Q369+Q348</f>
        <v>1.2293</v>
      </c>
      <c r="R260" s="150">
        <f t="shared" si="48"/>
        <v>14.2293</v>
      </c>
      <c r="S260" s="151">
        <v>1.7</v>
      </c>
      <c r="T260" s="147"/>
      <c r="U260" s="151">
        <f t="shared" si="42"/>
        <v>12.529300000000001</v>
      </c>
      <c r="V260" s="147">
        <v>0</v>
      </c>
      <c r="W260" s="151">
        <f>1.05*31.5</f>
        <v>33.075</v>
      </c>
      <c r="X260" s="151">
        <f t="shared" si="43"/>
        <v>20.545700000000004</v>
      </c>
      <c r="Y260" s="220"/>
      <c r="Z260" s="218"/>
    </row>
    <row r="261" spans="1:26" s="24" customFormat="1" ht="36.75" customHeight="1">
      <c r="A261" s="221"/>
      <c r="B261" s="148" t="s">
        <v>442</v>
      </c>
      <c r="C261" s="149">
        <v>31.5</v>
      </c>
      <c r="D261" s="171">
        <v>6.35</v>
      </c>
      <c r="E261" s="151">
        <v>1.55</v>
      </c>
      <c r="F261" s="147">
        <v>120</v>
      </c>
      <c r="G261" s="151">
        <f t="shared" si="39"/>
        <v>4.8</v>
      </c>
      <c r="H261" s="147">
        <v>0</v>
      </c>
      <c r="I261" s="151">
        <f>1.05*31.5</f>
        <v>33.075</v>
      </c>
      <c r="J261" s="151">
        <f t="shared" si="41"/>
        <v>28.275000000000002</v>
      </c>
      <c r="K261" s="220"/>
      <c r="L261" s="218"/>
      <c r="M261" s="131"/>
      <c r="N261" s="219"/>
      <c r="O261" s="153" t="s">
        <v>442</v>
      </c>
      <c r="P261" s="154">
        <v>31.5</v>
      </c>
      <c r="Q261" s="155">
        <f>0.018+0.043+0.018+0.017+0.017+0.017</f>
        <v>0.13</v>
      </c>
      <c r="R261" s="150">
        <f t="shared" si="48"/>
        <v>6.4799999999999995</v>
      </c>
      <c r="S261" s="151">
        <v>1.55</v>
      </c>
      <c r="T261" s="147">
        <v>120</v>
      </c>
      <c r="U261" s="151">
        <f t="shared" si="42"/>
        <v>4.93</v>
      </c>
      <c r="V261" s="147">
        <v>0</v>
      </c>
      <c r="W261" s="151">
        <f>1.05*31.5</f>
        <v>33.075</v>
      </c>
      <c r="X261" s="151">
        <f t="shared" si="43"/>
        <v>28.145000000000003</v>
      </c>
      <c r="Y261" s="220"/>
      <c r="Z261" s="218"/>
    </row>
    <row r="262" spans="1:26" s="24" customFormat="1" ht="36" customHeight="1">
      <c r="A262" s="221">
        <v>49</v>
      </c>
      <c r="B262" s="148" t="s">
        <v>619</v>
      </c>
      <c r="C262" s="149" t="s">
        <v>322</v>
      </c>
      <c r="D262" s="150">
        <f>D263+D264</f>
        <v>15.280000000000001</v>
      </c>
      <c r="E262" s="151">
        <v>11</v>
      </c>
      <c r="F262" s="147">
        <v>120</v>
      </c>
      <c r="G262" s="151">
        <f t="shared" si="39"/>
        <v>4.280000000000001</v>
      </c>
      <c r="H262" s="147">
        <v>0</v>
      </c>
      <c r="I262" s="151">
        <f>1.05*16</f>
        <v>16.8</v>
      </c>
      <c r="J262" s="151">
        <f t="shared" si="41"/>
        <v>12.52</v>
      </c>
      <c r="K262" s="220">
        <f>MIN(J262:J264)</f>
        <v>12.52</v>
      </c>
      <c r="L262" s="218" t="s">
        <v>435</v>
      </c>
      <c r="M262" s="131"/>
      <c r="N262" s="219">
        <v>49</v>
      </c>
      <c r="O262" s="153" t="s">
        <v>619</v>
      </c>
      <c r="P262" s="154" t="s">
        <v>322</v>
      </c>
      <c r="Q262" s="155">
        <f>Q263+Q264</f>
        <v>2.942</v>
      </c>
      <c r="R262" s="150">
        <f t="shared" si="48"/>
        <v>18.222</v>
      </c>
      <c r="S262" s="151">
        <v>11</v>
      </c>
      <c r="T262" s="147">
        <v>120</v>
      </c>
      <c r="U262" s="151">
        <f t="shared" si="42"/>
        <v>7.222000000000001</v>
      </c>
      <c r="V262" s="147">
        <v>0</v>
      </c>
      <c r="W262" s="151">
        <f>1.05*16</f>
        <v>16.8</v>
      </c>
      <c r="X262" s="151">
        <f t="shared" si="43"/>
        <v>9.578</v>
      </c>
      <c r="Y262" s="220">
        <f>MIN(X262:X264)</f>
        <v>9.578</v>
      </c>
      <c r="Z262" s="218" t="s">
        <v>435</v>
      </c>
    </row>
    <row r="263" spans="1:26" s="24" customFormat="1" ht="36" customHeight="1">
      <c r="A263" s="221"/>
      <c r="B263" s="148" t="s">
        <v>439</v>
      </c>
      <c r="C263" s="149" t="s">
        <v>322</v>
      </c>
      <c r="D263" s="150">
        <v>8.41</v>
      </c>
      <c r="E263" s="151">
        <v>7</v>
      </c>
      <c r="F263" s="147"/>
      <c r="G263" s="151">
        <f t="shared" si="39"/>
        <v>1.4100000000000001</v>
      </c>
      <c r="H263" s="147">
        <v>0</v>
      </c>
      <c r="I263" s="151">
        <f>1.05*16</f>
        <v>16.8</v>
      </c>
      <c r="J263" s="151">
        <f t="shared" si="41"/>
        <v>15.39</v>
      </c>
      <c r="K263" s="220"/>
      <c r="L263" s="218"/>
      <c r="M263" s="131"/>
      <c r="N263" s="219"/>
      <c r="O263" s="153" t="s">
        <v>439</v>
      </c>
      <c r="P263" s="154" t="s">
        <v>322</v>
      </c>
      <c r="Q263" s="155">
        <f>Q33+Q36+Q44+Q56+Q88+Q92+Q133+Q145+Q336+Q338+Q367</f>
        <v>2.849</v>
      </c>
      <c r="R263" s="150">
        <f t="shared" si="48"/>
        <v>11.259</v>
      </c>
      <c r="S263" s="151">
        <v>7</v>
      </c>
      <c r="T263" s="147"/>
      <c r="U263" s="151">
        <f t="shared" si="42"/>
        <v>4.259</v>
      </c>
      <c r="V263" s="147">
        <v>0</v>
      </c>
      <c r="W263" s="151">
        <f>1.05*16</f>
        <v>16.8</v>
      </c>
      <c r="X263" s="151">
        <f t="shared" si="43"/>
        <v>12.541</v>
      </c>
      <c r="Y263" s="220"/>
      <c r="Z263" s="218"/>
    </row>
    <row r="264" spans="1:26" s="24" customFormat="1" ht="36.75" customHeight="1">
      <c r="A264" s="221"/>
      <c r="B264" s="148" t="s">
        <v>442</v>
      </c>
      <c r="C264" s="149" t="s">
        <v>322</v>
      </c>
      <c r="D264" s="150">
        <v>6.87</v>
      </c>
      <c r="E264" s="151">
        <v>4</v>
      </c>
      <c r="F264" s="147">
        <v>120</v>
      </c>
      <c r="G264" s="151">
        <f t="shared" si="39"/>
        <v>2.87</v>
      </c>
      <c r="H264" s="147">
        <v>0</v>
      </c>
      <c r="I264" s="151">
        <f>1.05*16</f>
        <v>16.8</v>
      </c>
      <c r="J264" s="151">
        <f t="shared" si="41"/>
        <v>13.93</v>
      </c>
      <c r="K264" s="220"/>
      <c r="L264" s="218"/>
      <c r="M264" s="131"/>
      <c r="N264" s="219"/>
      <c r="O264" s="153" t="s">
        <v>442</v>
      </c>
      <c r="P264" s="154" t="s">
        <v>322</v>
      </c>
      <c r="Q264" s="155">
        <f>0.068+0.025</f>
        <v>0.093</v>
      </c>
      <c r="R264" s="150">
        <f t="shared" si="48"/>
        <v>6.963</v>
      </c>
      <c r="S264" s="151">
        <v>4</v>
      </c>
      <c r="T264" s="147">
        <v>120</v>
      </c>
      <c r="U264" s="151">
        <f t="shared" si="42"/>
        <v>2.963</v>
      </c>
      <c r="V264" s="147">
        <v>0</v>
      </c>
      <c r="W264" s="151">
        <f>1.05*16</f>
        <v>16.8</v>
      </c>
      <c r="X264" s="151">
        <f t="shared" si="43"/>
        <v>13.837</v>
      </c>
      <c r="Y264" s="220"/>
      <c r="Z264" s="218"/>
    </row>
    <row r="265" spans="1:26" s="24" customFormat="1" ht="15">
      <c r="A265" s="147">
        <v>50</v>
      </c>
      <c r="B265" s="148" t="s">
        <v>620</v>
      </c>
      <c r="C265" s="149" t="s">
        <v>326</v>
      </c>
      <c r="D265" s="150">
        <v>6.38</v>
      </c>
      <c r="E265" s="151">
        <v>0</v>
      </c>
      <c r="F265" s="147">
        <v>0</v>
      </c>
      <c r="G265" s="151">
        <f t="shared" si="39"/>
        <v>6.38</v>
      </c>
      <c r="H265" s="147">
        <v>0</v>
      </c>
      <c r="I265" s="151">
        <f>1.05*25</f>
        <v>26.25</v>
      </c>
      <c r="J265" s="151">
        <f t="shared" si="41"/>
        <v>19.87</v>
      </c>
      <c r="K265" s="151">
        <f>J265</f>
        <v>19.87</v>
      </c>
      <c r="L265" s="152" t="s">
        <v>435</v>
      </c>
      <c r="M265" s="131"/>
      <c r="N265" s="138">
        <v>50</v>
      </c>
      <c r="O265" s="153" t="s">
        <v>620</v>
      </c>
      <c r="P265" s="154" t="s">
        <v>326</v>
      </c>
      <c r="Q265" s="155"/>
      <c r="R265" s="150">
        <f t="shared" si="48"/>
        <v>6.38</v>
      </c>
      <c r="S265" s="151">
        <v>0</v>
      </c>
      <c r="T265" s="147">
        <v>0</v>
      </c>
      <c r="U265" s="151">
        <f t="shared" si="42"/>
        <v>6.38</v>
      </c>
      <c r="V265" s="147">
        <v>0</v>
      </c>
      <c r="W265" s="151">
        <f>1.05*25</f>
        <v>26.25</v>
      </c>
      <c r="X265" s="151">
        <f t="shared" si="43"/>
        <v>19.87</v>
      </c>
      <c r="Y265" s="151">
        <f>X265</f>
        <v>19.87</v>
      </c>
      <c r="Z265" s="152" t="s">
        <v>435</v>
      </c>
    </row>
    <row r="266" spans="1:26" s="24" customFormat="1" ht="15">
      <c r="A266" s="147">
        <v>51</v>
      </c>
      <c r="B266" s="148" t="s">
        <v>621</v>
      </c>
      <c r="C266" s="149" t="s">
        <v>329</v>
      </c>
      <c r="D266" s="168">
        <v>1.22</v>
      </c>
      <c r="E266" s="151">
        <v>0</v>
      </c>
      <c r="F266" s="147">
        <v>0</v>
      </c>
      <c r="G266" s="151">
        <f t="shared" si="39"/>
        <v>1.22</v>
      </c>
      <c r="H266" s="147">
        <v>0</v>
      </c>
      <c r="I266" s="151">
        <f>1.05*10</f>
        <v>10.5</v>
      </c>
      <c r="J266" s="151">
        <f t="shared" si="41"/>
        <v>9.28</v>
      </c>
      <c r="K266" s="151">
        <f>J266</f>
        <v>9.28</v>
      </c>
      <c r="L266" s="152" t="s">
        <v>435</v>
      </c>
      <c r="M266" s="131"/>
      <c r="N266" s="138">
        <v>51</v>
      </c>
      <c r="O266" s="153" t="s">
        <v>621</v>
      </c>
      <c r="P266" s="154" t="s">
        <v>329</v>
      </c>
      <c r="Q266" s="155">
        <f>0.028+0.008</f>
        <v>0.036000000000000004</v>
      </c>
      <c r="R266" s="150">
        <f t="shared" si="48"/>
        <v>1.256</v>
      </c>
      <c r="S266" s="151">
        <v>0</v>
      </c>
      <c r="T266" s="147">
        <v>0</v>
      </c>
      <c r="U266" s="151">
        <f t="shared" si="42"/>
        <v>1.256</v>
      </c>
      <c r="V266" s="147">
        <v>0</v>
      </c>
      <c r="W266" s="151">
        <f>1.05*10</f>
        <v>10.5</v>
      </c>
      <c r="X266" s="151">
        <f t="shared" si="43"/>
        <v>9.244</v>
      </c>
      <c r="Y266" s="151">
        <f>X266</f>
        <v>9.244</v>
      </c>
      <c r="Z266" s="152" t="s">
        <v>435</v>
      </c>
    </row>
    <row r="267" spans="1:26" s="24" customFormat="1" ht="15">
      <c r="A267" s="147">
        <v>52</v>
      </c>
      <c r="B267" s="148" t="s">
        <v>622</v>
      </c>
      <c r="C267" s="149" t="s">
        <v>324</v>
      </c>
      <c r="D267" s="168">
        <v>2.08</v>
      </c>
      <c r="E267" s="151">
        <v>0.7</v>
      </c>
      <c r="F267" s="147">
        <v>120</v>
      </c>
      <c r="G267" s="151">
        <f t="shared" si="39"/>
        <v>1.3800000000000001</v>
      </c>
      <c r="H267" s="147">
        <v>0</v>
      </c>
      <c r="I267" s="151">
        <f>1.05*6.3</f>
        <v>6.615</v>
      </c>
      <c r="J267" s="151">
        <f t="shared" si="41"/>
        <v>5.235</v>
      </c>
      <c r="K267" s="151">
        <f>J267</f>
        <v>5.235</v>
      </c>
      <c r="L267" s="152" t="s">
        <v>435</v>
      </c>
      <c r="M267" s="131"/>
      <c r="N267" s="138">
        <v>52</v>
      </c>
      <c r="O267" s="153" t="s">
        <v>622</v>
      </c>
      <c r="P267" s="154" t="s">
        <v>324</v>
      </c>
      <c r="Q267" s="155">
        <f>0.134+0.008+0.015+0.015+0.007+0.008+0.017+0.008</f>
        <v>0.21200000000000008</v>
      </c>
      <c r="R267" s="150">
        <f t="shared" si="48"/>
        <v>2.2920000000000003</v>
      </c>
      <c r="S267" s="151">
        <v>0.7</v>
      </c>
      <c r="T267" s="147">
        <v>120</v>
      </c>
      <c r="U267" s="151">
        <f t="shared" si="42"/>
        <v>1.5920000000000003</v>
      </c>
      <c r="V267" s="147">
        <v>0</v>
      </c>
      <c r="W267" s="151">
        <f>1.05*6.3</f>
        <v>6.615</v>
      </c>
      <c r="X267" s="151">
        <f t="shared" si="43"/>
        <v>5.023</v>
      </c>
      <c r="Y267" s="151">
        <f>X267</f>
        <v>5.023</v>
      </c>
      <c r="Z267" s="152" t="s">
        <v>435</v>
      </c>
    </row>
    <row r="268" spans="1:26" s="24" customFormat="1" ht="36" customHeight="1">
      <c r="A268" s="221">
        <v>53</v>
      </c>
      <c r="B268" s="148" t="s">
        <v>623</v>
      </c>
      <c r="C268" s="149" t="s">
        <v>326</v>
      </c>
      <c r="D268" s="150">
        <f>D269+D270</f>
        <v>15.6</v>
      </c>
      <c r="E268" s="151">
        <f>E269+E270</f>
        <v>29</v>
      </c>
      <c r="F268" s="147">
        <v>120</v>
      </c>
      <c r="G268" s="151">
        <f t="shared" si="39"/>
        <v>-13.4</v>
      </c>
      <c r="H268" s="147">
        <v>0</v>
      </c>
      <c r="I268" s="151">
        <f aca="true" t="shared" si="51" ref="I268:I273">1.05*25</f>
        <v>26.25</v>
      </c>
      <c r="J268" s="151">
        <f t="shared" si="41"/>
        <v>39.65</v>
      </c>
      <c r="K268" s="220">
        <f>MIN(J268:J270)</f>
        <v>27.950000000000003</v>
      </c>
      <c r="L268" s="218" t="s">
        <v>435</v>
      </c>
      <c r="M268" s="131"/>
      <c r="N268" s="219">
        <v>53</v>
      </c>
      <c r="O268" s="153" t="s">
        <v>623</v>
      </c>
      <c r="P268" s="154" t="s">
        <v>326</v>
      </c>
      <c r="Q268" s="155">
        <f>Q269+Q270</f>
        <v>2.0518</v>
      </c>
      <c r="R268" s="150">
        <f t="shared" si="48"/>
        <v>17.6518</v>
      </c>
      <c r="S268" s="151">
        <v>29</v>
      </c>
      <c r="T268" s="147">
        <v>120</v>
      </c>
      <c r="U268" s="151">
        <f t="shared" si="42"/>
        <v>-11.348199999999999</v>
      </c>
      <c r="V268" s="147">
        <v>0</v>
      </c>
      <c r="W268" s="151">
        <f aca="true" t="shared" si="52" ref="W268:W273">1.05*25</f>
        <v>26.25</v>
      </c>
      <c r="X268" s="151">
        <f t="shared" si="43"/>
        <v>37.5982</v>
      </c>
      <c r="Y268" s="220">
        <f>MIN(X268:X270)</f>
        <v>26.816000000000003</v>
      </c>
      <c r="Z268" s="218" t="s">
        <v>435</v>
      </c>
    </row>
    <row r="269" spans="1:26" s="24" customFormat="1" ht="36" customHeight="1">
      <c r="A269" s="221"/>
      <c r="B269" s="148" t="s">
        <v>439</v>
      </c>
      <c r="C269" s="149">
        <v>25</v>
      </c>
      <c r="D269" s="150">
        <v>5.4</v>
      </c>
      <c r="E269" s="151">
        <v>17.1</v>
      </c>
      <c r="F269" s="147"/>
      <c r="G269" s="151">
        <f t="shared" si="39"/>
        <v>-11.700000000000001</v>
      </c>
      <c r="H269" s="147">
        <v>0</v>
      </c>
      <c r="I269" s="151">
        <f t="shared" si="51"/>
        <v>26.25</v>
      </c>
      <c r="J269" s="151">
        <f t="shared" si="41"/>
        <v>37.95</v>
      </c>
      <c r="K269" s="220"/>
      <c r="L269" s="218"/>
      <c r="M269" s="131"/>
      <c r="N269" s="219"/>
      <c r="O269" s="153" t="s">
        <v>439</v>
      </c>
      <c r="P269" s="154">
        <v>25</v>
      </c>
      <c r="Q269" s="155">
        <f>Q32+Q42+Q37+Q69+Q121+Q309+Q323+Q362</f>
        <v>0.9178000000000001</v>
      </c>
      <c r="R269" s="150">
        <f t="shared" si="48"/>
        <v>6.3178</v>
      </c>
      <c r="S269" s="151">
        <v>17.1</v>
      </c>
      <c r="T269" s="147"/>
      <c r="U269" s="151">
        <f t="shared" si="42"/>
        <v>-10.782200000000001</v>
      </c>
      <c r="V269" s="147">
        <v>0</v>
      </c>
      <c r="W269" s="151">
        <f t="shared" si="52"/>
        <v>26.25</v>
      </c>
      <c r="X269" s="151">
        <f t="shared" si="43"/>
        <v>37.0322</v>
      </c>
      <c r="Y269" s="220"/>
      <c r="Z269" s="218"/>
    </row>
    <row r="270" spans="1:26" s="24" customFormat="1" ht="36.75" customHeight="1">
      <c r="A270" s="221"/>
      <c r="B270" s="148" t="s">
        <v>442</v>
      </c>
      <c r="C270" s="149">
        <v>25</v>
      </c>
      <c r="D270" s="150">
        <v>10.2</v>
      </c>
      <c r="E270" s="151">
        <v>11.9</v>
      </c>
      <c r="F270" s="147"/>
      <c r="G270" s="151">
        <f t="shared" si="39"/>
        <v>-1.700000000000001</v>
      </c>
      <c r="H270" s="147">
        <v>0</v>
      </c>
      <c r="I270" s="151">
        <f t="shared" si="51"/>
        <v>26.25</v>
      </c>
      <c r="J270" s="151">
        <f t="shared" si="41"/>
        <v>27.950000000000003</v>
      </c>
      <c r="K270" s="220"/>
      <c r="L270" s="218"/>
      <c r="M270" s="131"/>
      <c r="N270" s="219"/>
      <c r="O270" s="153" t="s">
        <v>442</v>
      </c>
      <c r="P270" s="154">
        <v>25</v>
      </c>
      <c r="Q270" s="155">
        <f>0.895+0.053+0.022+0.036+0.024+0.022+0.012+0.07</f>
        <v>1.1340000000000001</v>
      </c>
      <c r="R270" s="150">
        <f t="shared" si="48"/>
        <v>11.334</v>
      </c>
      <c r="S270" s="151">
        <v>11.9</v>
      </c>
      <c r="T270" s="147"/>
      <c r="U270" s="151">
        <f t="shared" si="42"/>
        <v>-0.5660000000000007</v>
      </c>
      <c r="V270" s="147">
        <v>0</v>
      </c>
      <c r="W270" s="151">
        <f t="shared" si="52"/>
        <v>26.25</v>
      </c>
      <c r="X270" s="151">
        <f t="shared" si="43"/>
        <v>26.816000000000003</v>
      </c>
      <c r="Y270" s="220"/>
      <c r="Z270" s="218"/>
    </row>
    <row r="271" spans="1:26" s="24" customFormat="1" ht="36" customHeight="1">
      <c r="A271" s="221">
        <v>54</v>
      </c>
      <c r="B271" s="148" t="s">
        <v>624</v>
      </c>
      <c r="C271" s="149" t="s">
        <v>326</v>
      </c>
      <c r="D271" s="150">
        <f>D272+D273</f>
        <v>13.6</v>
      </c>
      <c r="E271" s="151">
        <v>0</v>
      </c>
      <c r="F271" s="147">
        <v>0</v>
      </c>
      <c r="G271" s="151">
        <f t="shared" si="39"/>
        <v>13.6</v>
      </c>
      <c r="H271" s="147">
        <v>0</v>
      </c>
      <c r="I271" s="151">
        <f t="shared" si="51"/>
        <v>26.25</v>
      </c>
      <c r="J271" s="151">
        <f t="shared" si="41"/>
        <v>12.65</v>
      </c>
      <c r="K271" s="220">
        <f>MIN(J271:J273)</f>
        <v>12.65</v>
      </c>
      <c r="L271" s="218" t="s">
        <v>435</v>
      </c>
      <c r="M271" s="131"/>
      <c r="N271" s="219">
        <v>54</v>
      </c>
      <c r="O271" s="153" t="s">
        <v>624</v>
      </c>
      <c r="P271" s="154" t="s">
        <v>326</v>
      </c>
      <c r="Q271" s="155">
        <f>Q272+Q273</f>
        <v>10.2625</v>
      </c>
      <c r="R271" s="150">
        <f t="shared" si="48"/>
        <v>23.862499999999997</v>
      </c>
      <c r="S271" s="151">
        <v>0</v>
      </c>
      <c r="T271" s="147">
        <v>0</v>
      </c>
      <c r="U271" s="151">
        <f t="shared" si="42"/>
        <v>23.862499999999997</v>
      </c>
      <c r="V271" s="147">
        <v>0</v>
      </c>
      <c r="W271" s="151">
        <f t="shared" si="52"/>
        <v>26.25</v>
      </c>
      <c r="X271" s="151">
        <f t="shared" si="43"/>
        <v>2.387500000000003</v>
      </c>
      <c r="Y271" s="220">
        <f>MIN(X271:X273)</f>
        <v>2.387500000000003</v>
      </c>
      <c r="Z271" s="218" t="s">
        <v>435</v>
      </c>
    </row>
    <row r="272" spans="1:26" s="24" customFormat="1" ht="36" customHeight="1">
      <c r="A272" s="221"/>
      <c r="B272" s="148" t="s">
        <v>439</v>
      </c>
      <c r="C272" s="149">
        <v>25</v>
      </c>
      <c r="D272" s="150">
        <v>3.67</v>
      </c>
      <c r="E272" s="151"/>
      <c r="F272" s="147"/>
      <c r="G272" s="151">
        <f t="shared" si="39"/>
        <v>3.67</v>
      </c>
      <c r="H272" s="147">
        <v>0</v>
      </c>
      <c r="I272" s="151">
        <f t="shared" si="51"/>
        <v>26.25</v>
      </c>
      <c r="J272" s="151">
        <f t="shared" si="41"/>
        <v>22.58</v>
      </c>
      <c r="K272" s="220"/>
      <c r="L272" s="218"/>
      <c r="M272" s="131"/>
      <c r="N272" s="219"/>
      <c r="O272" s="153" t="s">
        <v>439</v>
      </c>
      <c r="P272" s="154">
        <v>25</v>
      </c>
      <c r="Q272" s="155">
        <f>Q97+Q107+Q352</f>
        <v>4.0625</v>
      </c>
      <c r="R272" s="150">
        <f t="shared" si="48"/>
        <v>7.7325</v>
      </c>
      <c r="S272" s="151"/>
      <c r="T272" s="147"/>
      <c r="U272" s="151">
        <f t="shared" si="42"/>
        <v>7.7325</v>
      </c>
      <c r="V272" s="147">
        <v>0</v>
      </c>
      <c r="W272" s="151">
        <f t="shared" si="52"/>
        <v>26.25</v>
      </c>
      <c r="X272" s="151">
        <f t="shared" si="43"/>
        <v>18.5175</v>
      </c>
      <c r="Y272" s="220"/>
      <c r="Z272" s="218"/>
    </row>
    <row r="273" spans="1:26" s="24" customFormat="1" ht="36.75" customHeight="1">
      <c r="A273" s="221"/>
      <c r="B273" s="148" t="s">
        <v>442</v>
      </c>
      <c r="C273" s="149">
        <v>25</v>
      </c>
      <c r="D273" s="150">
        <v>9.93</v>
      </c>
      <c r="E273" s="151">
        <v>0</v>
      </c>
      <c r="F273" s="147">
        <v>0</v>
      </c>
      <c r="G273" s="151">
        <f t="shared" si="39"/>
        <v>9.93</v>
      </c>
      <c r="H273" s="147">
        <v>0</v>
      </c>
      <c r="I273" s="151">
        <f t="shared" si="51"/>
        <v>26.25</v>
      </c>
      <c r="J273" s="151">
        <f t="shared" si="41"/>
        <v>16.32</v>
      </c>
      <c r="K273" s="220"/>
      <c r="L273" s="218"/>
      <c r="M273" s="131"/>
      <c r="N273" s="219"/>
      <c r="O273" s="153" t="s">
        <v>442</v>
      </c>
      <c r="P273" s="154">
        <v>25</v>
      </c>
      <c r="Q273" s="155">
        <f>5.5+0.7</f>
        <v>6.2</v>
      </c>
      <c r="R273" s="150">
        <f t="shared" si="48"/>
        <v>16.13</v>
      </c>
      <c r="S273" s="151">
        <v>0</v>
      </c>
      <c r="T273" s="147">
        <v>0</v>
      </c>
      <c r="U273" s="151">
        <f t="shared" si="42"/>
        <v>16.13</v>
      </c>
      <c r="V273" s="147">
        <v>0</v>
      </c>
      <c r="W273" s="151">
        <f t="shared" si="52"/>
        <v>26.25</v>
      </c>
      <c r="X273" s="151">
        <f t="shared" si="43"/>
        <v>10.120000000000001</v>
      </c>
      <c r="Y273" s="220"/>
      <c r="Z273" s="218"/>
    </row>
    <row r="274" spans="1:26" s="24" customFormat="1" ht="36" customHeight="1">
      <c r="A274" s="221">
        <v>55</v>
      </c>
      <c r="B274" s="148" t="s">
        <v>625</v>
      </c>
      <c r="C274" s="149" t="s">
        <v>329</v>
      </c>
      <c r="D274" s="150">
        <f>D275+D276</f>
        <v>3.87</v>
      </c>
      <c r="E274" s="151">
        <f>E275+E276</f>
        <v>3.44</v>
      </c>
      <c r="F274" s="147">
        <v>120</v>
      </c>
      <c r="G274" s="151">
        <f t="shared" si="39"/>
        <v>0.43000000000000016</v>
      </c>
      <c r="H274" s="147">
        <v>0</v>
      </c>
      <c r="I274" s="151">
        <f>1.05*10</f>
        <v>10.5</v>
      </c>
      <c r="J274" s="151">
        <f t="shared" si="41"/>
        <v>10.07</v>
      </c>
      <c r="K274" s="220">
        <f>MIN(J274:J276)</f>
        <v>8.57</v>
      </c>
      <c r="L274" s="218" t="s">
        <v>435</v>
      </c>
      <c r="M274" s="131"/>
      <c r="N274" s="219">
        <v>55</v>
      </c>
      <c r="O274" s="153" t="s">
        <v>625</v>
      </c>
      <c r="P274" s="154" t="s">
        <v>329</v>
      </c>
      <c r="Q274" s="155">
        <f>Q275+Q276</f>
        <v>0.096</v>
      </c>
      <c r="R274" s="150">
        <f t="shared" si="48"/>
        <v>3.966</v>
      </c>
      <c r="S274" s="151">
        <v>3.44</v>
      </c>
      <c r="T274" s="147">
        <v>120</v>
      </c>
      <c r="U274" s="151">
        <f t="shared" si="42"/>
        <v>0.5260000000000002</v>
      </c>
      <c r="V274" s="147">
        <v>0</v>
      </c>
      <c r="W274" s="151">
        <f>1.05*10</f>
        <v>10.5</v>
      </c>
      <c r="X274" s="151">
        <f t="shared" si="43"/>
        <v>9.974</v>
      </c>
      <c r="Y274" s="220">
        <f>MIN(X274:X276)</f>
        <v>8.498</v>
      </c>
      <c r="Z274" s="218" t="s">
        <v>435</v>
      </c>
    </row>
    <row r="275" spans="1:26" s="24" customFormat="1" ht="36" customHeight="1">
      <c r="A275" s="221"/>
      <c r="B275" s="148" t="s">
        <v>439</v>
      </c>
      <c r="C275" s="149">
        <v>10</v>
      </c>
      <c r="D275" s="150">
        <v>0.5</v>
      </c>
      <c r="E275" s="151">
        <v>2</v>
      </c>
      <c r="F275" s="147"/>
      <c r="G275" s="151">
        <f t="shared" si="39"/>
        <v>-1.5</v>
      </c>
      <c r="H275" s="147">
        <v>0</v>
      </c>
      <c r="I275" s="151">
        <f>1.05*10</f>
        <v>10.5</v>
      </c>
      <c r="J275" s="151">
        <f t="shared" si="41"/>
        <v>12</v>
      </c>
      <c r="K275" s="220"/>
      <c r="L275" s="218"/>
      <c r="M275" s="131"/>
      <c r="N275" s="219"/>
      <c r="O275" s="153" t="s">
        <v>439</v>
      </c>
      <c r="P275" s="154">
        <v>10</v>
      </c>
      <c r="Q275" s="155">
        <f>Q84</f>
        <v>0.024</v>
      </c>
      <c r="R275" s="150">
        <f t="shared" si="48"/>
        <v>0.524</v>
      </c>
      <c r="S275" s="151">
        <v>2</v>
      </c>
      <c r="T275" s="147"/>
      <c r="U275" s="151">
        <f t="shared" si="42"/>
        <v>-1.476</v>
      </c>
      <c r="V275" s="147">
        <v>0</v>
      </c>
      <c r="W275" s="151">
        <f>1.05*10</f>
        <v>10.5</v>
      </c>
      <c r="X275" s="151">
        <f t="shared" si="43"/>
        <v>11.975999999999999</v>
      </c>
      <c r="Y275" s="220"/>
      <c r="Z275" s="218"/>
    </row>
    <row r="276" spans="1:26" s="24" customFormat="1" ht="36.75" customHeight="1">
      <c r="A276" s="221"/>
      <c r="B276" s="148" t="s">
        <v>442</v>
      </c>
      <c r="C276" s="149">
        <v>10</v>
      </c>
      <c r="D276" s="150">
        <v>3.37</v>
      </c>
      <c r="E276" s="151">
        <v>1.44</v>
      </c>
      <c r="F276" s="147"/>
      <c r="G276" s="151">
        <f t="shared" si="39"/>
        <v>1.9300000000000002</v>
      </c>
      <c r="H276" s="147">
        <v>0</v>
      </c>
      <c r="I276" s="151">
        <f>1.05*10</f>
        <v>10.5</v>
      </c>
      <c r="J276" s="151">
        <f t="shared" si="41"/>
        <v>8.57</v>
      </c>
      <c r="K276" s="220"/>
      <c r="L276" s="218"/>
      <c r="M276" s="131"/>
      <c r="N276" s="219"/>
      <c r="O276" s="153" t="s">
        <v>442</v>
      </c>
      <c r="P276" s="154">
        <v>10</v>
      </c>
      <c r="Q276" s="155">
        <f>0.048+0.018+0.006</f>
        <v>0.07200000000000001</v>
      </c>
      <c r="R276" s="150">
        <f t="shared" si="48"/>
        <v>3.442</v>
      </c>
      <c r="S276" s="151">
        <v>1.44</v>
      </c>
      <c r="T276" s="147"/>
      <c r="U276" s="151">
        <f t="shared" si="42"/>
        <v>2.0020000000000002</v>
      </c>
      <c r="V276" s="147">
        <v>0</v>
      </c>
      <c r="W276" s="151">
        <f>1.05*10</f>
        <v>10.5</v>
      </c>
      <c r="X276" s="151">
        <f t="shared" si="43"/>
        <v>8.498</v>
      </c>
      <c r="Y276" s="220"/>
      <c r="Z276" s="218"/>
    </row>
    <row r="277" spans="1:26" s="24" customFormat="1" ht="36" customHeight="1">
      <c r="A277" s="221">
        <v>56</v>
      </c>
      <c r="B277" s="148" t="s">
        <v>626</v>
      </c>
      <c r="C277" s="149" t="s">
        <v>331</v>
      </c>
      <c r="D277" s="150">
        <f>D278+D279</f>
        <v>4.72</v>
      </c>
      <c r="E277" s="151">
        <f>E278+E279</f>
        <v>9.59</v>
      </c>
      <c r="F277" s="147">
        <v>120</v>
      </c>
      <c r="G277" s="151">
        <f t="shared" si="39"/>
        <v>-4.87</v>
      </c>
      <c r="H277" s="147">
        <v>0</v>
      </c>
      <c r="I277" s="151">
        <f>1.05*6.3</f>
        <v>6.615</v>
      </c>
      <c r="J277" s="151">
        <f t="shared" si="41"/>
        <v>11.485</v>
      </c>
      <c r="K277" s="220">
        <f>MIN(J277:J279)</f>
        <v>6.525</v>
      </c>
      <c r="L277" s="218" t="s">
        <v>435</v>
      </c>
      <c r="M277" s="131"/>
      <c r="N277" s="219">
        <v>56</v>
      </c>
      <c r="O277" s="153" t="s">
        <v>626</v>
      </c>
      <c r="P277" s="154" t="s">
        <v>331</v>
      </c>
      <c r="Q277" s="155">
        <f>Q278+Q279</f>
        <v>0.6884</v>
      </c>
      <c r="R277" s="150">
        <f t="shared" si="48"/>
        <v>5.408399999999999</v>
      </c>
      <c r="S277" s="151">
        <v>9.59</v>
      </c>
      <c r="T277" s="147">
        <v>120</v>
      </c>
      <c r="U277" s="151">
        <f t="shared" si="42"/>
        <v>-4.1816</v>
      </c>
      <c r="V277" s="147">
        <v>0</v>
      </c>
      <c r="W277" s="151">
        <f>1.05*6.3</f>
        <v>6.615</v>
      </c>
      <c r="X277" s="151">
        <f t="shared" si="43"/>
        <v>10.796600000000002</v>
      </c>
      <c r="Y277" s="220">
        <f>MIN(X277:X279)</f>
        <v>6.397</v>
      </c>
      <c r="Z277" s="218" t="s">
        <v>435</v>
      </c>
    </row>
    <row r="278" spans="1:26" s="24" customFormat="1" ht="36" customHeight="1">
      <c r="A278" s="221"/>
      <c r="B278" s="148" t="s">
        <v>439</v>
      </c>
      <c r="C278" s="149" t="s">
        <v>331</v>
      </c>
      <c r="D278" s="150">
        <v>4.13</v>
      </c>
      <c r="E278" s="151">
        <v>9.09</v>
      </c>
      <c r="F278" s="147"/>
      <c r="G278" s="151">
        <f t="shared" si="39"/>
        <v>-4.96</v>
      </c>
      <c r="H278" s="147">
        <v>0</v>
      </c>
      <c r="I278" s="151">
        <f>1.05*6.3</f>
        <v>6.615</v>
      </c>
      <c r="J278" s="151">
        <f t="shared" si="41"/>
        <v>11.575</v>
      </c>
      <c r="K278" s="220"/>
      <c r="L278" s="218"/>
      <c r="M278" s="131"/>
      <c r="N278" s="219"/>
      <c r="O278" s="153" t="s">
        <v>439</v>
      </c>
      <c r="P278" s="154" t="s">
        <v>331</v>
      </c>
      <c r="Q278" s="155">
        <f>Q85+Q127+Q317+Q320+Q361+Q371</f>
        <v>0.5604</v>
      </c>
      <c r="R278" s="150">
        <f t="shared" si="48"/>
        <v>4.6904</v>
      </c>
      <c r="S278" s="151">
        <v>9.09</v>
      </c>
      <c r="T278" s="147"/>
      <c r="U278" s="151">
        <f t="shared" si="42"/>
        <v>-4.3995999999999995</v>
      </c>
      <c r="V278" s="147">
        <v>0</v>
      </c>
      <c r="W278" s="151">
        <f>1.05*6.3</f>
        <v>6.615</v>
      </c>
      <c r="X278" s="151">
        <f t="shared" si="43"/>
        <v>11.0146</v>
      </c>
      <c r="Y278" s="220"/>
      <c r="Z278" s="218"/>
    </row>
    <row r="279" spans="1:26" s="24" customFormat="1" ht="36.75" customHeight="1">
      <c r="A279" s="221"/>
      <c r="B279" s="148" t="s">
        <v>442</v>
      </c>
      <c r="C279" s="149" t="s">
        <v>331</v>
      </c>
      <c r="D279" s="150">
        <v>0.59</v>
      </c>
      <c r="E279" s="151">
        <v>0.5</v>
      </c>
      <c r="F279" s="147">
        <v>120</v>
      </c>
      <c r="G279" s="151">
        <f t="shared" si="39"/>
        <v>0.08999999999999997</v>
      </c>
      <c r="H279" s="147">
        <v>0</v>
      </c>
      <c r="I279" s="151">
        <f>1.05*6.3</f>
        <v>6.615</v>
      </c>
      <c r="J279" s="151">
        <f t="shared" si="41"/>
        <v>6.525</v>
      </c>
      <c r="K279" s="220"/>
      <c r="L279" s="218"/>
      <c r="M279" s="131"/>
      <c r="N279" s="219"/>
      <c r="O279" s="153" t="s">
        <v>442</v>
      </c>
      <c r="P279" s="154" t="s">
        <v>331</v>
      </c>
      <c r="Q279" s="155">
        <f>0.113+0.015</f>
        <v>0.128</v>
      </c>
      <c r="R279" s="150">
        <f t="shared" si="48"/>
        <v>0.718</v>
      </c>
      <c r="S279" s="151">
        <v>0.5</v>
      </c>
      <c r="T279" s="147">
        <v>120</v>
      </c>
      <c r="U279" s="151">
        <f t="shared" si="42"/>
        <v>0.21799999999999997</v>
      </c>
      <c r="V279" s="147">
        <v>0</v>
      </c>
      <c r="W279" s="151">
        <f>1.05*6.3</f>
        <v>6.615</v>
      </c>
      <c r="X279" s="151">
        <f t="shared" si="43"/>
        <v>6.397</v>
      </c>
      <c r="Y279" s="220"/>
      <c r="Z279" s="218"/>
    </row>
    <row r="280" spans="1:26" s="24" customFormat="1" ht="36" customHeight="1">
      <c r="A280" s="221">
        <v>57</v>
      </c>
      <c r="B280" s="148" t="s">
        <v>627</v>
      </c>
      <c r="C280" s="149" t="s">
        <v>332</v>
      </c>
      <c r="D280" s="171">
        <f>D281+D282</f>
        <v>0.63</v>
      </c>
      <c r="E280" s="151">
        <f>E282</f>
        <v>0.5</v>
      </c>
      <c r="F280" s="147">
        <v>120</v>
      </c>
      <c r="G280" s="151">
        <f t="shared" si="39"/>
        <v>0.13</v>
      </c>
      <c r="H280" s="147">
        <v>0</v>
      </c>
      <c r="I280" s="151">
        <f>1.05*10</f>
        <v>10.5</v>
      </c>
      <c r="J280" s="151">
        <f t="shared" si="41"/>
        <v>10.37</v>
      </c>
      <c r="K280" s="220">
        <f>MIN(J280:J282)</f>
        <v>10.04</v>
      </c>
      <c r="L280" s="218" t="s">
        <v>435</v>
      </c>
      <c r="M280" s="131"/>
      <c r="N280" s="219">
        <v>57</v>
      </c>
      <c r="O280" s="153" t="s">
        <v>627</v>
      </c>
      <c r="P280" s="154" t="s">
        <v>332</v>
      </c>
      <c r="Q280" s="155">
        <f>Q281+Q282</f>
        <v>0.21300000000000002</v>
      </c>
      <c r="R280" s="150">
        <f t="shared" si="48"/>
        <v>0.843</v>
      </c>
      <c r="S280" s="151">
        <v>0.5</v>
      </c>
      <c r="T280" s="147">
        <v>120</v>
      </c>
      <c r="U280" s="151">
        <f t="shared" si="42"/>
        <v>0.34299999999999997</v>
      </c>
      <c r="V280" s="147">
        <v>0</v>
      </c>
      <c r="W280" s="151">
        <f>1.05*10</f>
        <v>10.5</v>
      </c>
      <c r="X280" s="151">
        <f t="shared" si="43"/>
        <v>10.157</v>
      </c>
      <c r="Y280" s="220">
        <f>MIN(X280:X282)</f>
        <v>9.884</v>
      </c>
      <c r="Z280" s="218" t="s">
        <v>435</v>
      </c>
    </row>
    <row r="281" spans="1:26" s="24" customFormat="1" ht="36" customHeight="1">
      <c r="A281" s="221"/>
      <c r="B281" s="148" t="s">
        <v>439</v>
      </c>
      <c r="C281" s="149" t="s">
        <v>332</v>
      </c>
      <c r="D281" s="171">
        <v>0.46</v>
      </c>
      <c r="E281" s="151"/>
      <c r="F281" s="147"/>
      <c r="G281" s="151">
        <f t="shared" si="39"/>
        <v>0.46</v>
      </c>
      <c r="H281" s="147">
        <v>0</v>
      </c>
      <c r="I281" s="151">
        <f>1.05*10</f>
        <v>10.5</v>
      </c>
      <c r="J281" s="151">
        <f t="shared" si="41"/>
        <v>10.04</v>
      </c>
      <c r="K281" s="220"/>
      <c r="L281" s="218"/>
      <c r="M281" s="131"/>
      <c r="N281" s="219"/>
      <c r="O281" s="153" t="s">
        <v>439</v>
      </c>
      <c r="P281" s="154" t="s">
        <v>332</v>
      </c>
      <c r="Q281" s="155">
        <f>Q136+Q355+Q363</f>
        <v>0.15600000000000003</v>
      </c>
      <c r="R281" s="150">
        <f t="shared" si="48"/>
        <v>0.6160000000000001</v>
      </c>
      <c r="S281" s="151"/>
      <c r="T281" s="147"/>
      <c r="U281" s="151">
        <f t="shared" si="42"/>
        <v>0.6160000000000001</v>
      </c>
      <c r="V281" s="147">
        <v>0</v>
      </c>
      <c r="W281" s="151">
        <f>1.05*10</f>
        <v>10.5</v>
      </c>
      <c r="X281" s="151">
        <f t="shared" si="43"/>
        <v>9.884</v>
      </c>
      <c r="Y281" s="220"/>
      <c r="Z281" s="218"/>
    </row>
    <row r="282" spans="1:26" s="24" customFormat="1" ht="36.75" customHeight="1">
      <c r="A282" s="221"/>
      <c r="B282" s="148" t="s">
        <v>442</v>
      </c>
      <c r="C282" s="149" t="s">
        <v>332</v>
      </c>
      <c r="D282" s="171">
        <v>0.17</v>
      </c>
      <c r="E282" s="151">
        <v>0.5</v>
      </c>
      <c r="F282" s="147">
        <v>120</v>
      </c>
      <c r="G282" s="151">
        <f aca="true" t="shared" si="53" ref="G282:G345">D282-E282</f>
        <v>-0.32999999999999996</v>
      </c>
      <c r="H282" s="147">
        <v>0</v>
      </c>
      <c r="I282" s="151">
        <f>1.05*10</f>
        <v>10.5</v>
      </c>
      <c r="J282" s="151">
        <f t="shared" si="41"/>
        <v>10.83</v>
      </c>
      <c r="K282" s="220"/>
      <c r="L282" s="218"/>
      <c r="M282" s="131"/>
      <c r="N282" s="219"/>
      <c r="O282" s="153" t="s">
        <v>442</v>
      </c>
      <c r="P282" s="154" t="s">
        <v>332</v>
      </c>
      <c r="Q282" s="155">
        <f>0.03+0.027</f>
        <v>0.056999999999999995</v>
      </c>
      <c r="R282" s="150">
        <f aca="true" t="shared" si="54" ref="R282:R313">Q282+D282</f>
        <v>0.227</v>
      </c>
      <c r="S282" s="151">
        <v>0.5</v>
      </c>
      <c r="T282" s="147">
        <v>120</v>
      </c>
      <c r="U282" s="151">
        <f t="shared" si="42"/>
        <v>-0.273</v>
      </c>
      <c r="V282" s="147">
        <v>0</v>
      </c>
      <c r="W282" s="151">
        <f>1.05*10</f>
        <v>10.5</v>
      </c>
      <c r="X282" s="151">
        <f t="shared" si="43"/>
        <v>10.773</v>
      </c>
      <c r="Y282" s="220"/>
      <c r="Z282" s="218"/>
    </row>
    <row r="283" spans="1:26" s="24" customFormat="1" ht="36" customHeight="1">
      <c r="A283" s="221">
        <v>58</v>
      </c>
      <c r="B283" s="148" t="s">
        <v>628</v>
      </c>
      <c r="C283" s="149" t="s">
        <v>323</v>
      </c>
      <c r="D283" s="171">
        <f>D284+D285</f>
        <v>6.290000000000001</v>
      </c>
      <c r="E283" s="151">
        <f>E284+E285</f>
        <v>17.4</v>
      </c>
      <c r="F283" s="147">
        <v>120</v>
      </c>
      <c r="G283" s="151">
        <f t="shared" si="53"/>
        <v>-11.109999999999998</v>
      </c>
      <c r="H283" s="147">
        <v>0</v>
      </c>
      <c r="I283" s="151">
        <f>1.05*16</f>
        <v>16.8</v>
      </c>
      <c r="J283" s="151">
        <f aca="true" t="shared" si="55" ref="J283:J345">I283-H283-G283</f>
        <v>27.909999999999997</v>
      </c>
      <c r="K283" s="220">
        <f>MIN(J283:J285)</f>
        <v>16.96</v>
      </c>
      <c r="L283" s="218" t="s">
        <v>435</v>
      </c>
      <c r="M283" s="131"/>
      <c r="N283" s="219">
        <v>58</v>
      </c>
      <c r="O283" s="153" t="s">
        <v>628</v>
      </c>
      <c r="P283" s="154" t="s">
        <v>323</v>
      </c>
      <c r="Q283" s="155">
        <f>Q284+Q285</f>
        <v>4.898455</v>
      </c>
      <c r="R283" s="150">
        <f t="shared" si="54"/>
        <v>11.188455000000001</v>
      </c>
      <c r="S283" s="151">
        <v>17.4</v>
      </c>
      <c r="T283" s="147">
        <v>120</v>
      </c>
      <c r="U283" s="151">
        <f aca="true" t="shared" si="56" ref="U283:U345">R283-S283</f>
        <v>-6.211544999999997</v>
      </c>
      <c r="V283" s="147">
        <v>0</v>
      </c>
      <c r="W283" s="151">
        <f>1.05*16</f>
        <v>16.8</v>
      </c>
      <c r="X283" s="151">
        <f aca="true" t="shared" si="57" ref="X283:X345">W283-V283-U283</f>
        <v>23.011544999999998</v>
      </c>
      <c r="Y283" s="220">
        <f>MIN(X283:X285)</f>
        <v>14.644545</v>
      </c>
      <c r="Z283" s="218" t="s">
        <v>435</v>
      </c>
    </row>
    <row r="284" spans="1:26" s="24" customFormat="1" ht="36" customHeight="1">
      <c r="A284" s="221"/>
      <c r="B284" s="148" t="s">
        <v>439</v>
      </c>
      <c r="C284" s="149">
        <v>16</v>
      </c>
      <c r="D284" s="171">
        <v>1.85</v>
      </c>
      <c r="E284" s="151">
        <v>12.8</v>
      </c>
      <c r="F284" s="147"/>
      <c r="G284" s="151">
        <f t="shared" si="53"/>
        <v>-10.950000000000001</v>
      </c>
      <c r="H284" s="147">
        <v>0</v>
      </c>
      <c r="I284" s="151">
        <f>1.05*16</f>
        <v>16.8</v>
      </c>
      <c r="J284" s="151">
        <f t="shared" si="55"/>
        <v>27.75</v>
      </c>
      <c r="K284" s="220"/>
      <c r="L284" s="218"/>
      <c r="M284" s="131"/>
      <c r="N284" s="219"/>
      <c r="O284" s="153" t="s">
        <v>439</v>
      </c>
      <c r="P284" s="154">
        <v>16</v>
      </c>
      <c r="Q284" s="155">
        <f>Q61+Q72+Q99+Q126+Q315+Q328+Q343</f>
        <v>2.583</v>
      </c>
      <c r="R284" s="150">
        <f t="shared" si="54"/>
        <v>4.433</v>
      </c>
      <c r="S284" s="151">
        <v>12.8</v>
      </c>
      <c r="T284" s="147"/>
      <c r="U284" s="151">
        <f t="shared" si="56"/>
        <v>-8.367</v>
      </c>
      <c r="V284" s="147">
        <v>0</v>
      </c>
      <c r="W284" s="151">
        <f>1.05*16</f>
        <v>16.8</v>
      </c>
      <c r="X284" s="151">
        <f t="shared" si="57"/>
        <v>25.167</v>
      </c>
      <c r="Y284" s="220"/>
      <c r="Z284" s="218"/>
    </row>
    <row r="285" spans="1:26" s="24" customFormat="1" ht="36.75" customHeight="1">
      <c r="A285" s="221"/>
      <c r="B285" s="148" t="s">
        <v>442</v>
      </c>
      <c r="C285" s="149">
        <v>16</v>
      </c>
      <c r="D285" s="171">
        <v>4.44</v>
      </c>
      <c r="E285" s="151">
        <v>4.6</v>
      </c>
      <c r="F285" s="147">
        <v>120</v>
      </c>
      <c r="G285" s="151">
        <f t="shared" si="53"/>
        <v>-0.15999999999999925</v>
      </c>
      <c r="H285" s="147">
        <v>0</v>
      </c>
      <c r="I285" s="151">
        <f>1.05*16</f>
        <v>16.8</v>
      </c>
      <c r="J285" s="151">
        <f t="shared" si="55"/>
        <v>16.96</v>
      </c>
      <c r="K285" s="220"/>
      <c r="L285" s="218"/>
      <c r="M285" s="131"/>
      <c r="N285" s="219"/>
      <c r="O285" s="153" t="s">
        <v>442</v>
      </c>
      <c r="P285" s="154">
        <v>16</v>
      </c>
      <c r="Q285" s="155">
        <f>0.539+1.434455+0.055+0.049+0.035+0.066+0.137</f>
        <v>2.315455</v>
      </c>
      <c r="R285" s="150">
        <f t="shared" si="54"/>
        <v>6.755455</v>
      </c>
      <c r="S285" s="151">
        <v>4.6</v>
      </c>
      <c r="T285" s="147">
        <v>120</v>
      </c>
      <c r="U285" s="151">
        <f t="shared" si="56"/>
        <v>2.155455000000001</v>
      </c>
      <c r="V285" s="147">
        <v>0</v>
      </c>
      <c r="W285" s="151">
        <f>1.05*16</f>
        <v>16.8</v>
      </c>
      <c r="X285" s="151">
        <f t="shared" si="57"/>
        <v>14.644545</v>
      </c>
      <c r="Y285" s="220"/>
      <c r="Z285" s="218"/>
    </row>
    <row r="286" spans="1:26" s="24" customFormat="1" ht="36" customHeight="1">
      <c r="A286" s="221">
        <v>59</v>
      </c>
      <c r="B286" s="148" t="s">
        <v>629</v>
      </c>
      <c r="C286" s="149" t="s">
        <v>326</v>
      </c>
      <c r="D286" s="150">
        <f>D287+D288</f>
        <v>4.33</v>
      </c>
      <c r="E286" s="151">
        <f>E287+E288</f>
        <v>12.34</v>
      </c>
      <c r="F286" s="147">
        <v>120</v>
      </c>
      <c r="G286" s="151">
        <f t="shared" si="53"/>
        <v>-8.01</v>
      </c>
      <c r="H286" s="147">
        <v>0</v>
      </c>
      <c r="I286" s="151">
        <f>1.05*25</f>
        <v>26.25</v>
      </c>
      <c r="J286" s="151">
        <f t="shared" si="55"/>
        <v>34.26</v>
      </c>
      <c r="K286" s="220">
        <f>MIN(J286:J288)</f>
        <v>25.08</v>
      </c>
      <c r="L286" s="218" t="s">
        <v>435</v>
      </c>
      <c r="M286" s="131"/>
      <c r="N286" s="219">
        <v>59</v>
      </c>
      <c r="O286" s="153" t="s">
        <v>629</v>
      </c>
      <c r="P286" s="154" t="s">
        <v>326</v>
      </c>
      <c r="Q286" s="155">
        <f>Q287+Q288</f>
        <v>0.31</v>
      </c>
      <c r="R286" s="150">
        <f>'Табл.1 Текущий дефицит'!Q287+Q286</f>
        <v>0.31</v>
      </c>
      <c r="S286" s="151">
        <v>12.34</v>
      </c>
      <c r="T286" s="147">
        <v>120</v>
      </c>
      <c r="U286" s="151">
        <f t="shared" si="56"/>
        <v>-12.03</v>
      </c>
      <c r="V286" s="147">
        <v>0</v>
      </c>
      <c r="W286" s="151">
        <f>1.05*25</f>
        <v>26.25</v>
      </c>
      <c r="X286" s="151">
        <f t="shared" si="57"/>
        <v>38.28</v>
      </c>
      <c r="Y286" s="220">
        <f>MIN(X286:X288)</f>
        <v>24.967</v>
      </c>
      <c r="Z286" s="218" t="s">
        <v>435</v>
      </c>
    </row>
    <row r="287" spans="1:26" s="24" customFormat="1" ht="36" customHeight="1">
      <c r="A287" s="221"/>
      <c r="B287" s="148" t="s">
        <v>439</v>
      </c>
      <c r="C287" s="149">
        <v>25</v>
      </c>
      <c r="D287" s="150">
        <v>2.94</v>
      </c>
      <c r="E287" s="151">
        <v>12.12</v>
      </c>
      <c r="F287" s="147"/>
      <c r="G287" s="151">
        <f t="shared" si="53"/>
        <v>-9.18</v>
      </c>
      <c r="H287" s="147">
        <v>0</v>
      </c>
      <c r="I287" s="151">
        <f>1.05*25</f>
        <v>26.25</v>
      </c>
      <c r="J287" s="151">
        <f t="shared" si="55"/>
        <v>35.43</v>
      </c>
      <c r="K287" s="220"/>
      <c r="L287" s="218"/>
      <c r="M287" s="131"/>
      <c r="N287" s="219"/>
      <c r="O287" s="153" t="s">
        <v>439</v>
      </c>
      <c r="P287" s="154">
        <v>25</v>
      </c>
      <c r="Q287" s="155">
        <v>0.197</v>
      </c>
      <c r="R287" s="150">
        <f>'Табл.1 Текущий дефицит'!Q288+Q287</f>
        <v>0.197</v>
      </c>
      <c r="S287" s="151">
        <v>12.12</v>
      </c>
      <c r="T287" s="147"/>
      <c r="U287" s="151">
        <f t="shared" si="56"/>
        <v>-11.923</v>
      </c>
      <c r="V287" s="147">
        <v>0</v>
      </c>
      <c r="W287" s="151">
        <f>1.05*25</f>
        <v>26.25</v>
      </c>
      <c r="X287" s="151">
        <f t="shared" si="57"/>
        <v>38.173</v>
      </c>
      <c r="Y287" s="220"/>
      <c r="Z287" s="218"/>
    </row>
    <row r="288" spans="1:26" s="24" customFormat="1" ht="36.75" customHeight="1">
      <c r="A288" s="221"/>
      <c r="B288" s="148" t="s">
        <v>442</v>
      </c>
      <c r="C288" s="149">
        <v>25</v>
      </c>
      <c r="D288" s="150">
        <v>1.39</v>
      </c>
      <c r="E288" s="151">
        <v>0.22</v>
      </c>
      <c r="F288" s="147">
        <v>10</v>
      </c>
      <c r="G288" s="151">
        <f t="shared" si="53"/>
        <v>1.17</v>
      </c>
      <c r="H288" s="147">
        <v>0</v>
      </c>
      <c r="I288" s="151">
        <f>1.05*25</f>
        <v>26.25</v>
      </c>
      <c r="J288" s="151">
        <f t="shared" si="55"/>
        <v>25.08</v>
      </c>
      <c r="K288" s="220"/>
      <c r="L288" s="218"/>
      <c r="M288" s="131"/>
      <c r="N288" s="219"/>
      <c r="O288" s="153" t="s">
        <v>442</v>
      </c>
      <c r="P288" s="154">
        <v>25</v>
      </c>
      <c r="Q288" s="155">
        <f>0.05+0.015+0.023+0.025</f>
        <v>0.11299999999999999</v>
      </c>
      <c r="R288" s="150">
        <f t="shared" si="54"/>
        <v>1.503</v>
      </c>
      <c r="S288" s="151">
        <v>0.22</v>
      </c>
      <c r="T288" s="147">
        <v>10</v>
      </c>
      <c r="U288" s="151">
        <f t="shared" si="56"/>
        <v>1.283</v>
      </c>
      <c r="V288" s="147">
        <v>0</v>
      </c>
      <c r="W288" s="151">
        <f>1.05*25</f>
        <v>26.25</v>
      </c>
      <c r="X288" s="151">
        <f t="shared" si="57"/>
        <v>24.967</v>
      </c>
      <c r="Y288" s="220"/>
      <c r="Z288" s="218"/>
    </row>
    <row r="289" spans="1:26" s="24" customFormat="1" ht="36" customHeight="1">
      <c r="A289" s="221">
        <v>60</v>
      </c>
      <c r="B289" s="148" t="s">
        <v>630</v>
      </c>
      <c r="C289" s="149" t="s">
        <v>333</v>
      </c>
      <c r="D289" s="171">
        <f>D290+D291</f>
        <v>3.15</v>
      </c>
      <c r="E289" s="151">
        <f>E290+E291</f>
        <v>6.3</v>
      </c>
      <c r="F289" s="147">
        <v>80</v>
      </c>
      <c r="G289" s="151">
        <f t="shared" si="53"/>
        <v>-3.15</v>
      </c>
      <c r="H289" s="147">
        <v>0</v>
      </c>
      <c r="I289" s="151">
        <f>1.05*7.5</f>
        <v>7.875</v>
      </c>
      <c r="J289" s="151">
        <f t="shared" si="55"/>
        <v>11.025</v>
      </c>
      <c r="K289" s="220">
        <f>MIN(J289:J291)</f>
        <v>7.984999999999999</v>
      </c>
      <c r="L289" s="218" t="s">
        <v>435</v>
      </c>
      <c r="M289" s="131"/>
      <c r="N289" s="219">
        <v>60</v>
      </c>
      <c r="O289" s="153" t="s">
        <v>630</v>
      </c>
      <c r="P289" s="154" t="s">
        <v>333</v>
      </c>
      <c r="Q289" s="155">
        <f>Q290+Q291</f>
        <v>0.9309999999999999</v>
      </c>
      <c r="R289" s="150">
        <f t="shared" si="54"/>
        <v>4.0809999999999995</v>
      </c>
      <c r="S289" s="151">
        <v>6.3</v>
      </c>
      <c r="T289" s="147">
        <v>80</v>
      </c>
      <c r="U289" s="151">
        <f t="shared" si="56"/>
        <v>-2.2190000000000003</v>
      </c>
      <c r="V289" s="147">
        <v>0</v>
      </c>
      <c r="W289" s="151">
        <f>1.05*7.5</f>
        <v>7.875</v>
      </c>
      <c r="X289" s="151">
        <f t="shared" si="57"/>
        <v>10.094000000000001</v>
      </c>
      <c r="Y289" s="220">
        <f>MIN(X289:X291)</f>
        <v>7.141</v>
      </c>
      <c r="Z289" s="218" t="s">
        <v>435</v>
      </c>
    </row>
    <row r="290" spans="1:26" s="24" customFormat="1" ht="36" customHeight="1">
      <c r="A290" s="221"/>
      <c r="B290" s="148" t="s">
        <v>439</v>
      </c>
      <c r="C290" s="149" t="s">
        <v>333</v>
      </c>
      <c r="D290" s="171">
        <v>0.86</v>
      </c>
      <c r="E290" s="151">
        <v>3.9</v>
      </c>
      <c r="F290" s="147"/>
      <c r="G290" s="151">
        <f t="shared" si="53"/>
        <v>-3.04</v>
      </c>
      <c r="H290" s="147">
        <v>0</v>
      </c>
      <c r="I290" s="151">
        <f>1.05*7.5</f>
        <v>7.875</v>
      </c>
      <c r="J290" s="151">
        <f t="shared" si="55"/>
        <v>10.915</v>
      </c>
      <c r="K290" s="220"/>
      <c r="L290" s="218"/>
      <c r="M290" s="131"/>
      <c r="N290" s="219"/>
      <c r="O290" s="153" t="s">
        <v>439</v>
      </c>
      <c r="P290" s="154" t="s">
        <v>333</v>
      </c>
      <c r="Q290" s="155">
        <f>Q78+Q340+Q384</f>
        <v>0.08700000000000001</v>
      </c>
      <c r="R290" s="150">
        <f t="shared" si="54"/>
        <v>0.947</v>
      </c>
      <c r="S290" s="151">
        <v>3.9</v>
      </c>
      <c r="T290" s="147"/>
      <c r="U290" s="151">
        <f t="shared" si="56"/>
        <v>-2.953</v>
      </c>
      <c r="V290" s="147">
        <v>0</v>
      </c>
      <c r="W290" s="151">
        <f>1.05*7.5</f>
        <v>7.875</v>
      </c>
      <c r="X290" s="151">
        <f t="shared" si="57"/>
        <v>10.828</v>
      </c>
      <c r="Y290" s="220"/>
      <c r="Z290" s="218"/>
    </row>
    <row r="291" spans="1:26" s="24" customFormat="1" ht="36.75" customHeight="1">
      <c r="A291" s="221"/>
      <c r="B291" s="148" t="s">
        <v>442</v>
      </c>
      <c r="C291" s="149" t="s">
        <v>333</v>
      </c>
      <c r="D291" s="171">
        <v>2.29</v>
      </c>
      <c r="E291" s="151">
        <v>2.4</v>
      </c>
      <c r="F291" s="147">
        <v>80</v>
      </c>
      <c r="G291" s="151">
        <f t="shared" si="53"/>
        <v>-0.10999999999999988</v>
      </c>
      <c r="H291" s="147">
        <v>0</v>
      </c>
      <c r="I291" s="151">
        <f>1.05*7.5</f>
        <v>7.875</v>
      </c>
      <c r="J291" s="151">
        <f t="shared" si="55"/>
        <v>7.984999999999999</v>
      </c>
      <c r="K291" s="220"/>
      <c r="L291" s="218"/>
      <c r="M291" s="131"/>
      <c r="N291" s="219"/>
      <c r="O291" s="153" t="s">
        <v>442</v>
      </c>
      <c r="P291" s="154" t="s">
        <v>333</v>
      </c>
      <c r="Q291" s="155">
        <f>0.129+0.015+0.7</f>
        <v>0.844</v>
      </c>
      <c r="R291" s="150">
        <f t="shared" si="54"/>
        <v>3.134</v>
      </c>
      <c r="S291" s="151">
        <v>2.4</v>
      </c>
      <c r="T291" s="147">
        <v>80</v>
      </c>
      <c r="U291" s="151">
        <f t="shared" si="56"/>
        <v>0.734</v>
      </c>
      <c r="V291" s="147">
        <v>0</v>
      </c>
      <c r="W291" s="151">
        <f>1.05*7.5</f>
        <v>7.875</v>
      </c>
      <c r="X291" s="151">
        <f t="shared" si="57"/>
        <v>7.141</v>
      </c>
      <c r="Y291" s="220"/>
      <c r="Z291" s="218"/>
    </row>
    <row r="292" spans="1:26" s="24" customFormat="1" ht="36" customHeight="1">
      <c r="A292" s="221">
        <v>61</v>
      </c>
      <c r="B292" s="148" t="s">
        <v>631</v>
      </c>
      <c r="C292" s="149" t="s">
        <v>323</v>
      </c>
      <c r="D292" s="150">
        <f>D293+D294</f>
        <v>3.24</v>
      </c>
      <c r="E292" s="151">
        <f>E293+E294</f>
        <v>9.379999999999999</v>
      </c>
      <c r="F292" s="147">
        <v>10</v>
      </c>
      <c r="G292" s="151">
        <f t="shared" si="53"/>
        <v>-6.139999999999999</v>
      </c>
      <c r="H292" s="147">
        <v>0</v>
      </c>
      <c r="I292" s="151">
        <f>1.05*16</f>
        <v>16.8</v>
      </c>
      <c r="J292" s="151">
        <f t="shared" si="55"/>
        <v>22.939999999999998</v>
      </c>
      <c r="K292" s="220">
        <f>MIN(J292:J294)</f>
        <v>16.01</v>
      </c>
      <c r="L292" s="218" t="s">
        <v>435</v>
      </c>
      <c r="M292" s="131"/>
      <c r="N292" s="219">
        <v>61</v>
      </c>
      <c r="O292" s="153" t="s">
        <v>631</v>
      </c>
      <c r="P292" s="154" t="s">
        <v>323</v>
      </c>
      <c r="Q292" s="155">
        <f>Q293+Q294</f>
        <v>0.942225</v>
      </c>
      <c r="R292" s="150">
        <f t="shared" si="54"/>
        <v>4.182225</v>
      </c>
      <c r="S292" s="151">
        <v>9.379999999999999</v>
      </c>
      <c r="T292" s="147">
        <v>10</v>
      </c>
      <c r="U292" s="151">
        <f t="shared" si="56"/>
        <v>-5.197774999999999</v>
      </c>
      <c r="V292" s="147">
        <v>0</v>
      </c>
      <c r="W292" s="151">
        <f>1.05*16</f>
        <v>16.8</v>
      </c>
      <c r="X292" s="151">
        <f t="shared" si="57"/>
        <v>21.997775</v>
      </c>
      <c r="Y292" s="220">
        <f>MIN(X292:X294)</f>
        <v>15.566</v>
      </c>
      <c r="Z292" s="218" t="s">
        <v>435</v>
      </c>
    </row>
    <row r="293" spans="1:26" s="24" customFormat="1" ht="36" customHeight="1">
      <c r="A293" s="221"/>
      <c r="B293" s="148" t="s">
        <v>439</v>
      </c>
      <c r="C293" s="149">
        <v>16</v>
      </c>
      <c r="D293" s="150">
        <v>2.16</v>
      </c>
      <c r="E293" s="151">
        <v>9.09</v>
      </c>
      <c r="F293" s="147"/>
      <c r="G293" s="151">
        <f t="shared" si="53"/>
        <v>-6.93</v>
      </c>
      <c r="H293" s="147">
        <v>0</v>
      </c>
      <c r="I293" s="151">
        <f>1.05*16</f>
        <v>16.8</v>
      </c>
      <c r="J293" s="151">
        <f t="shared" si="55"/>
        <v>23.73</v>
      </c>
      <c r="K293" s="220"/>
      <c r="L293" s="218"/>
      <c r="M293" s="131"/>
      <c r="N293" s="219"/>
      <c r="O293" s="153" t="s">
        <v>439</v>
      </c>
      <c r="P293" s="154">
        <v>16</v>
      </c>
      <c r="Q293" s="155">
        <f>Q50+Q111+Q113+Q122+Q382</f>
        <v>0.49822500000000003</v>
      </c>
      <c r="R293" s="150">
        <f t="shared" si="54"/>
        <v>2.6582250000000003</v>
      </c>
      <c r="S293" s="151">
        <v>9.09</v>
      </c>
      <c r="T293" s="147"/>
      <c r="U293" s="151">
        <f t="shared" si="56"/>
        <v>-6.431775</v>
      </c>
      <c r="V293" s="147">
        <v>0</v>
      </c>
      <c r="W293" s="151">
        <f>1.05*16</f>
        <v>16.8</v>
      </c>
      <c r="X293" s="151">
        <f t="shared" si="57"/>
        <v>23.231775</v>
      </c>
      <c r="Y293" s="220"/>
      <c r="Z293" s="218"/>
    </row>
    <row r="294" spans="1:26" s="24" customFormat="1" ht="36.75" customHeight="1">
      <c r="A294" s="221"/>
      <c r="B294" s="148" t="s">
        <v>442</v>
      </c>
      <c r="C294" s="149">
        <v>16</v>
      </c>
      <c r="D294" s="150">
        <v>1.08</v>
      </c>
      <c r="E294" s="151">
        <v>0.29</v>
      </c>
      <c r="F294" s="147">
        <v>120</v>
      </c>
      <c r="G294" s="151">
        <f t="shared" si="53"/>
        <v>0.79</v>
      </c>
      <c r="H294" s="147">
        <v>0</v>
      </c>
      <c r="I294" s="151">
        <f>1.05*16</f>
        <v>16.8</v>
      </c>
      <c r="J294" s="151">
        <f t="shared" si="55"/>
        <v>16.01</v>
      </c>
      <c r="K294" s="220"/>
      <c r="L294" s="218"/>
      <c r="M294" s="131"/>
      <c r="N294" s="219"/>
      <c r="O294" s="153" t="s">
        <v>442</v>
      </c>
      <c r="P294" s="154">
        <v>16</v>
      </c>
      <c r="Q294" s="155">
        <f>0.254+0.015+0.045+0.014+0.045+0.0315+0.038+0.0015</f>
        <v>0.44399999999999995</v>
      </c>
      <c r="R294" s="150">
        <f t="shared" si="54"/>
        <v>1.524</v>
      </c>
      <c r="S294" s="151">
        <v>0.29</v>
      </c>
      <c r="T294" s="147">
        <v>120</v>
      </c>
      <c r="U294" s="151">
        <f t="shared" si="56"/>
        <v>1.234</v>
      </c>
      <c r="V294" s="147">
        <v>0</v>
      </c>
      <c r="W294" s="151">
        <f>1.05*16</f>
        <v>16.8</v>
      </c>
      <c r="X294" s="151">
        <f t="shared" si="57"/>
        <v>15.566</v>
      </c>
      <c r="Y294" s="220"/>
      <c r="Z294" s="218"/>
    </row>
    <row r="295" spans="1:26" s="24" customFormat="1" ht="36" customHeight="1">
      <c r="A295" s="221">
        <v>62</v>
      </c>
      <c r="B295" s="148" t="s">
        <v>632</v>
      </c>
      <c r="C295" s="149" t="s">
        <v>324</v>
      </c>
      <c r="D295" s="150">
        <f>D296+D297</f>
        <v>2.7</v>
      </c>
      <c r="E295" s="151">
        <v>8.25</v>
      </c>
      <c r="F295" s="147">
        <v>120</v>
      </c>
      <c r="G295" s="151">
        <f t="shared" si="53"/>
        <v>-5.55</v>
      </c>
      <c r="H295" s="147">
        <v>0</v>
      </c>
      <c r="I295" s="151">
        <f>1.05*6.3</f>
        <v>6.615</v>
      </c>
      <c r="J295" s="151">
        <f t="shared" si="55"/>
        <v>12.165</v>
      </c>
      <c r="K295" s="220">
        <f>MIN(J295:J297)</f>
        <v>7.025</v>
      </c>
      <c r="L295" s="218" t="s">
        <v>435</v>
      </c>
      <c r="M295" s="131"/>
      <c r="N295" s="219">
        <v>62</v>
      </c>
      <c r="O295" s="153" t="s">
        <v>632</v>
      </c>
      <c r="P295" s="154" t="s">
        <v>324</v>
      </c>
      <c r="Q295" s="155">
        <f>Q296+Q297</f>
        <v>0.20443699999999998</v>
      </c>
      <c r="R295" s="150">
        <f t="shared" si="54"/>
        <v>2.904437</v>
      </c>
      <c r="S295" s="151">
        <v>8.25</v>
      </c>
      <c r="T295" s="147">
        <v>120</v>
      </c>
      <c r="U295" s="151">
        <f t="shared" si="56"/>
        <v>-5.345563</v>
      </c>
      <c r="V295" s="147">
        <v>0</v>
      </c>
      <c r="W295" s="151">
        <f>1.05*6.3</f>
        <v>6.615</v>
      </c>
      <c r="X295" s="151">
        <f t="shared" si="57"/>
        <v>11.960563</v>
      </c>
      <c r="Y295" s="220">
        <f>MIN(X295:X297)</f>
        <v>6.997</v>
      </c>
      <c r="Z295" s="218" t="s">
        <v>435</v>
      </c>
    </row>
    <row r="296" spans="1:26" s="24" customFormat="1" ht="36" customHeight="1">
      <c r="A296" s="221"/>
      <c r="B296" s="148" t="s">
        <v>439</v>
      </c>
      <c r="C296" s="149">
        <v>6.3</v>
      </c>
      <c r="D296" s="150">
        <v>1.86</v>
      </c>
      <c r="E296" s="151">
        <v>7</v>
      </c>
      <c r="F296" s="147"/>
      <c r="G296" s="151">
        <f t="shared" si="53"/>
        <v>-5.14</v>
      </c>
      <c r="H296" s="147">
        <v>0</v>
      </c>
      <c r="I296" s="151">
        <f>1.05*6.3</f>
        <v>6.615</v>
      </c>
      <c r="J296" s="151">
        <f t="shared" si="55"/>
        <v>11.754999999999999</v>
      </c>
      <c r="K296" s="220"/>
      <c r="L296" s="218"/>
      <c r="M296" s="131"/>
      <c r="N296" s="219"/>
      <c r="O296" s="153" t="s">
        <v>439</v>
      </c>
      <c r="P296" s="154">
        <v>6.3</v>
      </c>
      <c r="Q296" s="155">
        <f>Q47+Q82+Q134+Q142+Q337</f>
        <v>0.17643699999999998</v>
      </c>
      <c r="R296" s="150">
        <f t="shared" si="54"/>
        <v>2.0364370000000003</v>
      </c>
      <c r="S296" s="151">
        <v>7</v>
      </c>
      <c r="T296" s="147"/>
      <c r="U296" s="151">
        <f t="shared" si="56"/>
        <v>-4.963563</v>
      </c>
      <c r="V296" s="147">
        <v>0</v>
      </c>
      <c r="W296" s="151">
        <f>1.05*6.3</f>
        <v>6.615</v>
      </c>
      <c r="X296" s="151">
        <f t="shared" si="57"/>
        <v>11.578562999999999</v>
      </c>
      <c r="Y296" s="220"/>
      <c r="Z296" s="218"/>
    </row>
    <row r="297" spans="1:26" s="24" customFormat="1" ht="36.75" customHeight="1">
      <c r="A297" s="221"/>
      <c r="B297" s="148" t="s">
        <v>442</v>
      </c>
      <c r="C297" s="149">
        <v>6.3</v>
      </c>
      <c r="D297" s="150">
        <v>0.84</v>
      </c>
      <c r="E297" s="151">
        <v>1.25</v>
      </c>
      <c r="F297" s="147">
        <v>129</v>
      </c>
      <c r="G297" s="151">
        <f t="shared" si="53"/>
        <v>-0.41000000000000003</v>
      </c>
      <c r="H297" s="147">
        <v>0</v>
      </c>
      <c r="I297" s="151">
        <f>1.05*6.3</f>
        <v>6.615</v>
      </c>
      <c r="J297" s="151">
        <f t="shared" si="55"/>
        <v>7.025</v>
      </c>
      <c r="K297" s="220"/>
      <c r="L297" s="218"/>
      <c r="M297" s="131"/>
      <c r="N297" s="219"/>
      <c r="O297" s="153" t="s">
        <v>442</v>
      </c>
      <c r="P297" s="154">
        <v>6.3</v>
      </c>
      <c r="Q297" s="155">
        <f>0.005+0.008+0.015</f>
        <v>0.028</v>
      </c>
      <c r="R297" s="150">
        <f t="shared" si="54"/>
        <v>0.868</v>
      </c>
      <c r="S297" s="151">
        <v>1.25</v>
      </c>
      <c r="T297" s="147">
        <v>129</v>
      </c>
      <c r="U297" s="151">
        <f t="shared" si="56"/>
        <v>-0.382</v>
      </c>
      <c r="V297" s="147">
        <v>0</v>
      </c>
      <c r="W297" s="151">
        <f>1.05*6.3</f>
        <v>6.615</v>
      </c>
      <c r="X297" s="151">
        <f t="shared" si="57"/>
        <v>6.997</v>
      </c>
      <c r="Y297" s="220"/>
      <c r="Z297" s="218"/>
    </row>
    <row r="298" spans="1:26" s="24" customFormat="1" ht="36" customHeight="1">
      <c r="A298" s="221">
        <v>63</v>
      </c>
      <c r="B298" s="148" t="s">
        <v>633</v>
      </c>
      <c r="C298" s="149" t="s">
        <v>329</v>
      </c>
      <c r="D298" s="150">
        <f>D299+D300</f>
        <v>4.6</v>
      </c>
      <c r="E298" s="151">
        <v>13.73</v>
      </c>
      <c r="F298" s="147">
        <v>120</v>
      </c>
      <c r="G298" s="151">
        <f t="shared" si="53"/>
        <v>-9.13</v>
      </c>
      <c r="H298" s="147">
        <v>0</v>
      </c>
      <c r="I298" s="151">
        <f>1.05*10</f>
        <v>10.5</v>
      </c>
      <c r="J298" s="151">
        <f t="shared" si="55"/>
        <v>19.630000000000003</v>
      </c>
      <c r="K298" s="220">
        <f>MIN(J298:J300)</f>
        <v>11.83</v>
      </c>
      <c r="L298" s="218" t="s">
        <v>435</v>
      </c>
      <c r="M298" s="131"/>
      <c r="N298" s="219">
        <v>63</v>
      </c>
      <c r="O298" s="153" t="s">
        <v>633</v>
      </c>
      <c r="P298" s="154" t="s">
        <v>329</v>
      </c>
      <c r="Q298" s="155">
        <f>Q299+Q300</f>
        <v>0.7050000000000001</v>
      </c>
      <c r="R298" s="150">
        <f t="shared" si="54"/>
        <v>5.305</v>
      </c>
      <c r="S298" s="151">
        <v>13.73</v>
      </c>
      <c r="T298" s="147">
        <v>120</v>
      </c>
      <c r="U298" s="151">
        <f t="shared" si="56"/>
        <v>-8.425</v>
      </c>
      <c r="V298" s="147">
        <v>0</v>
      </c>
      <c r="W298" s="151">
        <f>1.05*10</f>
        <v>10.5</v>
      </c>
      <c r="X298" s="151">
        <f t="shared" si="57"/>
        <v>18.925</v>
      </c>
      <c r="Y298" s="220">
        <f>MIN(X298:X300)</f>
        <v>11.684</v>
      </c>
      <c r="Z298" s="218" t="s">
        <v>435</v>
      </c>
    </row>
    <row r="299" spans="1:26" s="24" customFormat="1" ht="36" customHeight="1">
      <c r="A299" s="221"/>
      <c r="B299" s="148" t="s">
        <v>439</v>
      </c>
      <c r="C299" s="149">
        <v>10</v>
      </c>
      <c r="D299" s="150">
        <v>3.4</v>
      </c>
      <c r="E299" s="151">
        <v>11.2</v>
      </c>
      <c r="F299" s="147"/>
      <c r="G299" s="151">
        <f t="shared" si="53"/>
        <v>-7.799999999999999</v>
      </c>
      <c r="H299" s="147">
        <v>0</v>
      </c>
      <c r="I299" s="151">
        <f>1.05*10</f>
        <v>10.5</v>
      </c>
      <c r="J299" s="151">
        <f t="shared" si="55"/>
        <v>18.299999999999997</v>
      </c>
      <c r="K299" s="220"/>
      <c r="L299" s="218"/>
      <c r="M299" s="131"/>
      <c r="N299" s="219"/>
      <c r="O299" s="153" t="s">
        <v>439</v>
      </c>
      <c r="P299" s="154">
        <v>10</v>
      </c>
      <c r="Q299" s="155">
        <f>Q128+Q132+Q308+Q329+Q365+Q378+Q389</f>
        <v>0.559</v>
      </c>
      <c r="R299" s="150">
        <f t="shared" si="54"/>
        <v>3.959</v>
      </c>
      <c r="S299" s="151">
        <v>11.2</v>
      </c>
      <c r="T299" s="147"/>
      <c r="U299" s="151">
        <f t="shared" si="56"/>
        <v>-7.241</v>
      </c>
      <c r="V299" s="147">
        <v>0</v>
      </c>
      <c r="W299" s="151">
        <f>1.05*10</f>
        <v>10.5</v>
      </c>
      <c r="X299" s="151">
        <f t="shared" si="57"/>
        <v>17.741</v>
      </c>
      <c r="Y299" s="220"/>
      <c r="Z299" s="218"/>
    </row>
    <row r="300" spans="1:26" s="24" customFormat="1" ht="36.75" customHeight="1">
      <c r="A300" s="221"/>
      <c r="B300" s="148" t="s">
        <v>442</v>
      </c>
      <c r="C300" s="149">
        <v>10</v>
      </c>
      <c r="D300" s="150">
        <v>1.2</v>
      </c>
      <c r="E300" s="151">
        <v>2.53</v>
      </c>
      <c r="F300" s="147">
        <v>120</v>
      </c>
      <c r="G300" s="151">
        <f t="shared" si="53"/>
        <v>-1.3299999999999998</v>
      </c>
      <c r="H300" s="147">
        <v>0</v>
      </c>
      <c r="I300" s="151">
        <f>1.05*10</f>
        <v>10.5</v>
      </c>
      <c r="J300" s="151">
        <f t="shared" si="55"/>
        <v>11.83</v>
      </c>
      <c r="K300" s="220"/>
      <c r="L300" s="218"/>
      <c r="M300" s="131"/>
      <c r="N300" s="219"/>
      <c r="O300" s="153" t="s">
        <v>442</v>
      </c>
      <c r="P300" s="154">
        <v>10</v>
      </c>
      <c r="Q300" s="155">
        <f>0.092+0.01+0.02+0.01+0.004+0.01</f>
        <v>0.14600000000000002</v>
      </c>
      <c r="R300" s="150">
        <f t="shared" si="54"/>
        <v>1.346</v>
      </c>
      <c r="S300" s="151">
        <v>2.53</v>
      </c>
      <c r="T300" s="147">
        <v>120</v>
      </c>
      <c r="U300" s="151">
        <f t="shared" si="56"/>
        <v>-1.1839999999999997</v>
      </c>
      <c r="V300" s="147">
        <v>0</v>
      </c>
      <c r="W300" s="151">
        <f>1.05*10</f>
        <v>10.5</v>
      </c>
      <c r="X300" s="151">
        <f t="shared" si="57"/>
        <v>11.684</v>
      </c>
      <c r="Y300" s="220"/>
      <c r="Z300" s="218"/>
    </row>
    <row r="301" spans="1:26" s="24" customFormat="1" ht="36" customHeight="1">
      <c r="A301" s="221">
        <v>64</v>
      </c>
      <c r="B301" s="148" t="s">
        <v>634</v>
      </c>
      <c r="C301" s="149" t="s">
        <v>326</v>
      </c>
      <c r="D301" s="150">
        <f>D302+D303</f>
        <v>10.49</v>
      </c>
      <c r="E301" s="151">
        <f>E302+E303</f>
        <v>12.899999999999999</v>
      </c>
      <c r="F301" s="147">
        <v>120</v>
      </c>
      <c r="G301" s="151">
        <f t="shared" si="53"/>
        <v>-2.4099999999999984</v>
      </c>
      <c r="H301" s="147">
        <v>0</v>
      </c>
      <c r="I301" s="151">
        <f>1.05*25</f>
        <v>26.25</v>
      </c>
      <c r="J301" s="151">
        <f t="shared" si="55"/>
        <v>28.659999999999997</v>
      </c>
      <c r="K301" s="220">
        <f>MIN(J301:J303)</f>
        <v>21.53</v>
      </c>
      <c r="L301" s="218" t="s">
        <v>435</v>
      </c>
      <c r="M301" s="131"/>
      <c r="N301" s="219">
        <v>64</v>
      </c>
      <c r="O301" s="153" t="s">
        <v>634</v>
      </c>
      <c r="P301" s="154" t="s">
        <v>326</v>
      </c>
      <c r="Q301" s="155">
        <f>Q302+Q303</f>
        <v>1.033</v>
      </c>
      <c r="R301" s="150">
        <f t="shared" si="54"/>
        <v>11.523</v>
      </c>
      <c r="S301" s="151">
        <v>12.899999999999999</v>
      </c>
      <c r="T301" s="147">
        <v>120</v>
      </c>
      <c r="U301" s="151">
        <f t="shared" si="56"/>
        <v>-1.376999999999999</v>
      </c>
      <c r="V301" s="147">
        <v>0</v>
      </c>
      <c r="W301" s="151">
        <f>1.05*25</f>
        <v>26.25</v>
      </c>
      <c r="X301" s="151">
        <f t="shared" si="57"/>
        <v>27.627</v>
      </c>
      <c r="Y301" s="220">
        <f>MIN(X301:X303)</f>
        <v>21.251</v>
      </c>
      <c r="Z301" s="218" t="s">
        <v>435</v>
      </c>
    </row>
    <row r="302" spans="1:26" s="24" customFormat="1" ht="36" customHeight="1">
      <c r="A302" s="221"/>
      <c r="B302" s="148" t="s">
        <v>439</v>
      </c>
      <c r="C302" s="149">
        <v>25</v>
      </c>
      <c r="D302" s="150">
        <v>4.99</v>
      </c>
      <c r="E302" s="151">
        <v>12.12</v>
      </c>
      <c r="F302" s="147"/>
      <c r="G302" s="151">
        <f t="shared" si="53"/>
        <v>-7.129999999999999</v>
      </c>
      <c r="H302" s="147">
        <v>0</v>
      </c>
      <c r="I302" s="151">
        <f>1.05*25</f>
        <v>26.25</v>
      </c>
      <c r="J302" s="151">
        <f t="shared" si="55"/>
        <v>33.379999999999995</v>
      </c>
      <c r="K302" s="220"/>
      <c r="L302" s="218"/>
      <c r="M302" s="131"/>
      <c r="N302" s="219"/>
      <c r="O302" s="153" t="s">
        <v>439</v>
      </c>
      <c r="P302" s="154">
        <v>25</v>
      </c>
      <c r="Q302" s="155">
        <f>Q34+Q101+Q135+Q140+Q334+Q356+Q390</f>
        <v>0.7539999999999999</v>
      </c>
      <c r="R302" s="150">
        <f t="shared" si="54"/>
        <v>5.744</v>
      </c>
      <c r="S302" s="151">
        <v>12.12</v>
      </c>
      <c r="T302" s="147"/>
      <c r="U302" s="151">
        <f t="shared" si="56"/>
        <v>-6.3759999999999994</v>
      </c>
      <c r="V302" s="147">
        <v>0</v>
      </c>
      <c r="W302" s="151">
        <f>1.05*25</f>
        <v>26.25</v>
      </c>
      <c r="X302" s="151">
        <f t="shared" si="57"/>
        <v>32.626</v>
      </c>
      <c r="Y302" s="220"/>
      <c r="Z302" s="218"/>
    </row>
    <row r="303" spans="1:26" s="24" customFormat="1" ht="36.75" customHeight="1">
      <c r="A303" s="221"/>
      <c r="B303" s="148" t="s">
        <v>442</v>
      </c>
      <c r="C303" s="149">
        <v>25</v>
      </c>
      <c r="D303" s="150">
        <v>5.5</v>
      </c>
      <c r="E303" s="151">
        <v>0.78</v>
      </c>
      <c r="F303" s="147">
        <v>120</v>
      </c>
      <c r="G303" s="151">
        <f t="shared" si="53"/>
        <v>4.72</v>
      </c>
      <c r="H303" s="147">
        <v>0</v>
      </c>
      <c r="I303" s="151">
        <f>1.05*25</f>
        <v>26.25</v>
      </c>
      <c r="J303" s="151">
        <f t="shared" si="55"/>
        <v>21.53</v>
      </c>
      <c r="K303" s="220"/>
      <c r="L303" s="218"/>
      <c r="M303" s="131"/>
      <c r="N303" s="219"/>
      <c r="O303" s="153" t="s">
        <v>442</v>
      </c>
      <c r="P303" s="154">
        <v>25</v>
      </c>
      <c r="Q303" s="155">
        <f>0.209+0.045+0.025</f>
        <v>0.279</v>
      </c>
      <c r="R303" s="150">
        <f t="shared" si="54"/>
        <v>5.779</v>
      </c>
      <c r="S303" s="151">
        <v>0.78</v>
      </c>
      <c r="T303" s="147">
        <v>120</v>
      </c>
      <c r="U303" s="151">
        <f t="shared" si="56"/>
        <v>4.999</v>
      </c>
      <c r="V303" s="147">
        <v>0</v>
      </c>
      <c r="W303" s="151">
        <f>1.05*25</f>
        <v>26.25</v>
      </c>
      <c r="X303" s="151">
        <f t="shared" si="57"/>
        <v>21.251</v>
      </c>
      <c r="Y303" s="220"/>
      <c r="Z303" s="218"/>
    </row>
    <row r="304" spans="1:26" s="24" customFormat="1" ht="36" customHeight="1">
      <c r="A304" s="221">
        <v>65</v>
      </c>
      <c r="B304" s="148" t="s">
        <v>635</v>
      </c>
      <c r="C304" s="149" t="s">
        <v>333</v>
      </c>
      <c r="D304" s="150">
        <f>D305+D306</f>
        <v>2.56</v>
      </c>
      <c r="E304" s="151">
        <f>E305+E306</f>
        <v>6.31</v>
      </c>
      <c r="F304" s="147">
        <v>10</v>
      </c>
      <c r="G304" s="151">
        <f t="shared" si="53"/>
        <v>-3.7499999999999996</v>
      </c>
      <c r="H304" s="147">
        <v>0</v>
      </c>
      <c r="I304" s="151">
        <f>1.05*7.5</f>
        <v>7.875</v>
      </c>
      <c r="J304" s="151">
        <f t="shared" si="55"/>
        <v>11.625</v>
      </c>
      <c r="K304" s="220">
        <f>MIN(J304:J306)</f>
        <v>6.83</v>
      </c>
      <c r="L304" s="218" t="s">
        <v>435</v>
      </c>
      <c r="M304" s="131"/>
      <c r="N304" s="219">
        <v>65</v>
      </c>
      <c r="O304" s="153" t="s">
        <v>635</v>
      </c>
      <c r="P304" s="154" t="s">
        <v>333</v>
      </c>
      <c r="Q304" s="155">
        <f>Q305+Q306</f>
        <v>1.2672500000000002</v>
      </c>
      <c r="R304" s="150">
        <f t="shared" si="54"/>
        <v>3.8272500000000003</v>
      </c>
      <c r="S304" s="151">
        <v>6.31</v>
      </c>
      <c r="T304" s="147">
        <v>10</v>
      </c>
      <c r="U304" s="151">
        <f t="shared" si="56"/>
        <v>-2.4827499999999993</v>
      </c>
      <c r="V304" s="147">
        <v>0</v>
      </c>
      <c r="W304" s="151">
        <f>1.05*7.5</f>
        <v>7.875</v>
      </c>
      <c r="X304" s="151">
        <f t="shared" si="57"/>
        <v>10.35775</v>
      </c>
      <c r="Y304" s="220">
        <f>MIN(X304:X306)</f>
        <v>6.387</v>
      </c>
      <c r="Z304" s="218" t="s">
        <v>435</v>
      </c>
    </row>
    <row r="305" spans="1:26" s="24" customFormat="1" ht="36" customHeight="1">
      <c r="A305" s="221"/>
      <c r="B305" s="148" t="s">
        <v>439</v>
      </c>
      <c r="C305" s="149" t="s">
        <v>333</v>
      </c>
      <c r="D305" s="150">
        <v>1.26</v>
      </c>
      <c r="E305" s="151">
        <v>6.06</v>
      </c>
      <c r="F305" s="147"/>
      <c r="G305" s="151">
        <f t="shared" si="53"/>
        <v>-4.8</v>
      </c>
      <c r="H305" s="147">
        <v>0</v>
      </c>
      <c r="I305" s="151">
        <v>7.88</v>
      </c>
      <c r="J305" s="151">
        <f t="shared" si="55"/>
        <v>12.68</v>
      </c>
      <c r="K305" s="220"/>
      <c r="L305" s="218"/>
      <c r="M305" s="131"/>
      <c r="N305" s="219"/>
      <c r="O305" s="153" t="s">
        <v>439</v>
      </c>
      <c r="P305" s="154" t="s">
        <v>333</v>
      </c>
      <c r="Q305" s="155">
        <f>Q39+Q40+Q48+Q71</f>
        <v>0.8242500000000001</v>
      </c>
      <c r="R305" s="150">
        <f t="shared" si="54"/>
        <v>2.08425</v>
      </c>
      <c r="S305" s="151">
        <v>6.06</v>
      </c>
      <c r="T305" s="147"/>
      <c r="U305" s="151">
        <f t="shared" si="56"/>
        <v>-3.9757499999999997</v>
      </c>
      <c r="V305" s="147">
        <v>0</v>
      </c>
      <c r="W305" s="151">
        <v>7.88</v>
      </c>
      <c r="X305" s="151">
        <f t="shared" si="57"/>
        <v>11.85575</v>
      </c>
      <c r="Y305" s="220"/>
      <c r="Z305" s="218"/>
    </row>
    <row r="306" spans="1:26" s="24" customFormat="1" ht="36.75" customHeight="1">
      <c r="A306" s="221"/>
      <c r="B306" s="148" t="s">
        <v>442</v>
      </c>
      <c r="C306" s="149" t="s">
        <v>333</v>
      </c>
      <c r="D306" s="150">
        <v>1.3</v>
      </c>
      <c r="E306" s="151">
        <v>0.25</v>
      </c>
      <c r="F306" s="147">
        <v>10</v>
      </c>
      <c r="G306" s="151">
        <f t="shared" si="53"/>
        <v>1.05</v>
      </c>
      <c r="H306" s="147">
        <v>0</v>
      </c>
      <c r="I306" s="151">
        <v>7.88</v>
      </c>
      <c r="J306" s="151">
        <f t="shared" si="55"/>
        <v>6.83</v>
      </c>
      <c r="K306" s="220"/>
      <c r="L306" s="218"/>
      <c r="M306" s="131"/>
      <c r="N306" s="219"/>
      <c r="O306" s="153" t="s">
        <v>442</v>
      </c>
      <c r="P306" s="154" t="s">
        <v>333</v>
      </c>
      <c r="Q306" s="155">
        <f>0.068+0.34+0.015+0.005+0.015</f>
        <v>0.44300000000000006</v>
      </c>
      <c r="R306" s="150">
        <f t="shared" si="54"/>
        <v>1.743</v>
      </c>
      <c r="S306" s="151">
        <v>0.25</v>
      </c>
      <c r="T306" s="147">
        <v>10</v>
      </c>
      <c r="U306" s="151">
        <f t="shared" si="56"/>
        <v>1.493</v>
      </c>
      <c r="V306" s="147">
        <v>0</v>
      </c>
      <c r="W306" s="151">
        <v>7.88</v>
      </c>
      <c r="X306" s="151">
        <f t="shared" si="57"/>
        <v>6.387</v>
      </c>
      <c r="Y306" s="220"/>
      <c r="Z306" s="218"/>
    </row>
    <row r="307" spans="1:26" s="24" customFormat="1" ht="15">
      <c r="A307" s="147">
        <v>66</v>
      </c>
      <c r="B307" s="148" t="s">
        <v>636</v>
      </c>
      <c r="C307" s="149" t="s">
        <v>325</v>
      </c>
      <c r="D307" s="150">
        <v>0.36</v>
      </c>
      <c r="E307" s="151">
        <v>0.2</v>
      </c>
      <c r="F307" s="147">
        <v>120</v>
      </c>
      <c r="G307" s="151">
        <f t="shared" si="53"/>
        <v>0.15999999999999998</v>
      </c>
      <c r="H307" s="147">
        <v>0</v>
      </c>
      <c r="I307" s="151">
        <f>1.05*2.5</f>
        <v>2.625</v>
      </c>
      <c r="J307" s="151">
        <f t="shared" si="55"/>
        <v>2.465</v>
      </c>
      <c r="K307" s="151">
        <f>J307</f>
        <v>2.465</v>
      </c>
      <c r="L307" s="152" t="s">
        <v>435</v>
      </c>
      <c r="M307" s="131"/>
      <c r="N307" s="138">
        <v>66</v>
      </c>
      <c r="O307" s="153" t="s">
        <v>636</v>
      </c>
      <c r="P307" s="154" t="s">
        <v>325</v>
      </c>
      <c r="Q307" s="155">
        <f>0.008+0.01</f>
        <v>0.018000000000000002</v>
      </c>
      <c r="R307" s="150">
        <f t="shared" si="54"/>
        <v>0.378</v>
      </c>
      <c r="S307" s="151">
        <v>0.2</v>
      </c>
      <c r="T307" s="147">
        <v>120</v>
      </c>
      <c r="U307" s="151">
        <f t="shared" si="56"/>
        <v>0.178</v>
      </c>
      <c r="V307" s="147">
        <v>0</v>
      </c>
      <c r="W307" s="151">
        <f>1.05*2.5</f>
        <v>2.625</v>
      </c>
      <c r="X307" s="151">
        <f t="shared" si="57"/>
        <v>2.447</v>
      </c>
      <c r="Y307" s="151">
        <f>X307</f>
        <v>2.447</v>
      </c>
      <c r="Z307" s="152" t="s">
        <v>435</v>
      </c>
    </row>
    <row r="308" spans="1:26" s="24" customFormat="1" ht="15">
      <c r="A308" s="147">
        <v>67</v>
      </c>
      <c r="B308" s="148" t="s">
        <v>637</v>
      </c>
      <c r="C308" s="149" t="s">
        <v>334</v>
      </c>
      <c r="D308" s="150">
        <v>0.45</v>
      </c>
      <c r="E308" s="151">
        <v>0.37</v>
      </c>
      <c r="F308" s="147">
        <v>120</v>
      </c>
      <c r="G308" s="151">
        <f t="shared" si="53"/>
        <v>0.08000000000000002</v>
      </c>
      <c r="H308" s="147">
        <v>0</v>
      </c>
      <c r="I308" s="151">
        <f>1.05*1.6</f>
        <v>1.6800000000000002</v>
      </c>
      <c r="J308" s="151">
        <f t="shared" si="55"/>
        <v>1.6</v>
      </c>
      <c r="K308" s="151">
        <f>J308</f>
        <v>1.6</v>
      </c>
      <c r="L308" s="152" t="s">
        <v>435</v>
      </c>
      <c r="M308" s="131"/>
      <c r="N308" s="138">
        <v>67</v>
      </c>
      <c r="O308" s="153" t="s">
        <v>637</v>
      </c>
      <c r="P308" s="154" t="s">
        <v>334</v>
      </c>
      <c r="Q308" s="155">
        <f>0.023+0.015</f>
        <v>0.038</v>
      </c>
      <c r="R308" s="150">
        <f t="shared" si="54"/>
        <v>0.488</v>
      </c>
      <c r="S308" s="151">
        <v>0.37</v>
      </c>
      <c r="T308" s="147">
        <v>120</v>
      </c>
      <c r="U308" s="151">
        <f t="shared" si="56"/>
        <v>0.118</v>
      </c>
      <c r="V308" s="147">
        <v>0</v>
      </c>
      <c r="W308" s="151">
        <f>1.05*1.6</f>
        <v>1.6800000000000002</v>
      </c>
      <c r="X308" s="151">
        <f t="shared" si="57"/>
        <v>1.5620000000000003</v>
      </c>
      <c r="Y308" s="151">
        <f>X308</f>
        <v>1.5620000000000003</v>
      </c>
      <c r="Z308" s="152" t="s">
        <v>435</v>
      </c>
    </row>
    <row r="309" spans="1:26" s="24" customFormat="1" ht="15">
      <c r="A309" s="147">
        <v>68</v>
      </c>
      <c r="B309" s="148" t="s">
        <v>638</v>
      </c>
      <c r="C309" s="149" t="s">
        <v>335</v>
      </c>
      <c r="D309" s="150">
        <v>1.22</v>
      </c>
      <c r="E309" s="151">
        <v>1.1</v>
      </c>
      <c r="F309" s="147">
        <v>80</v>
      </c>
      <c r="G309" s="151">
        <f t="shared" si="53"/>
        <v>0.11999999999999988</v>
      </c>
      <c r="H309" s="147">
        <v>0</v>
      </c>
      <c r="I309" s="151">
        <f>1.05*4</f>
        <v>4.2</v>
      </c>
      <c r="J309" s="151">
        <f t="shared" si="55"/>
        <v>4.08</v>
      </c>
      <c r="K309" s="151">
        <f>J309</f>
        <v>4.08</v>
      </c>
      <c r="L309" s="152" t="s">
        <v>435</v>
      </c>
      <c r="M309" s="131"/>
      <c r="N309" s="138">
        <v>68</v>
      </c>
      <c r="O309" s="153" t="s">
        <v>638</v>
      </c>
      <c r="P309" s="154" t="s">
        <v>335</v>
      </c>
      <c r="Q309" s="155">
        <f>0.055+0.015</f>
        <v>0.07</v>
      </c>
      <c r="R309" s="150">
        <f t="shared" si="54"/>
        <v>1.29</v>
      </c>
      <c r="S309" s="151">
        <v>1.1</v>
      </c>
      <c r="T309" s="147">
        <v>80</v>
      </c>
      <c r="U309" s="151">
        <f t="shared" si="56"/>
        <v>0.18999999999999995</v>
      </c>
      <c r="V309" s="147">
        <v>0</v>
      </c>
      <c r="W309" s="151">
        <f>1.05*4</f>
        <v>4.2</v>
      </c>
      <c r="X309" s="151">
        <f t="shared" si="57"/>
        <v>4.01</v>
      </c>
      <c r="Y309" s="151">
        <f>X309</f>
        <v>4.01</v>
      </c>
      <c r="Z309" s="152" t="s">
        <v>435</v>
      </c>
    </row>
    <row r="310" spans="1:26" s="24" customFormat="1" ht="15">
      <c r="A310" s="147">
        <v>69</v>
      </c>
      <c r="B310" s="148" t="s">
        <v>639</v>
      </c>
      <c r="C310" s="149" t="s">
        <v>339</v>
      </c>
      <c r="D310" s="150">
        <v>0.2</v>
      </c>
      <c r="E310" s="151">
        <v>1.43</v>
      </c>
      <c r="F310" s="147">
        <v>120</v>
      </c>
      <c r="G310" s="151">
        <f t="shared" si="53"/>
        <v>-1.23</v>
      </c>
      <c r="H310" s="147">
        <v>0</v>
      </c>
      <c r="I310" s="151">
        <f>1.05*1.6</f>
        <v>1.6800000000000002</v>
      </c>
      <c r="J310" s="151">
        <f t="shared" si="55"/>
        <v>2.91</v>
      </c>
      <c r="K310" s="151">
        <f aca="true" t="shared" si="58" ref="K310:K372">J310</f>
        <v>2.91</v>
      </c>
      <c r="L310" s="152" t="s">
        <v>435</v>
      </c>
      <c r="M310" s="131"/>
      <c r="N310" s="138">
        <v>69</v>
      </c>
      <c r="O310" s="153" t="s">
        <v>639</v>
      </c>
      <c r="P310" s="154" t="s">
        <v>339</v>
      </c>
      <c r="Q310" s="155">
        <v>0.062</v>
      </c>
      <c r="R310" s="150">
        <f t="shared" si="54"/>
        <v>0.262</v>
      </c>
      <c r="S310" s="151">
        <v>1.43</v>
      </c>
      <c r="T310" s="147">
        <v>120</v>
      </c>
      <c r="U310" s="151">
        <f t="shared" si="56"/>
        <v>-1.168</v>
      </c>
      <c r="V310" s="147">
        <v>0</v>
      </c>
      <c r="W310" s="151">
        <f>1.05*1.6</f>
        <v>1.6800000000000002</v>
      </c>
      <c r="X310" s="151">
        <f t="shared" si="57"/>
        <v>2.848</v>
      </c>
      <c r="Y310" s="151">
        <f aca="true" t="shared" si="59" ref="Y310:Y372">X310</f>
        <v>2.848</v>
      </c>
      <c r="Z310" s="152" t="s">
        <v>435</v>
      </c>
    </row>
    <row r="311" spans="1:26" s="24" customFormat="1" ht="15">
      <c r="A311" s="147">
        <v>68</v>
      </c>
      <c r="B311" s="148" t="s">
        <v>640</v>
      </c>
      <c r="C311" s="149" t="s">
        <v>335</v>
      </c>
      <c r="D311" s="150">
        <v>0.61</v>
      </c>
      <c r="E311" s="151">
        <v>6.1</v>
      </c>
      <c r="F311" s="147">
        <v>0</v>
      </c>
      <c r="G311" s="151">
        <f t="shared" si="53"/>
        <v>-5.489999999999999</v>
      </c>
      <c r="H311" s="147">
        <v>0</v>
      </c>
      <c r="I311" s="151">
        <f>1.05*4</f>
        <v>4.2</v>
      </c>
      <c r="J311" s="151">
        <f t="shared" si="55"/>
        <v>9.69</v>
      </c>
      <c r="K311" s="151">
        <f t="shared" si="58"/>
        <v>9.69</v>
      </c>
      <c r="L311" s="152" t="s">
        <v>435</v>
      </c>
      <c r="M311" s="131"/>
      <c r="N311" s="138">
        <v>70</v>
      </c>
      <c r="O311" s="153" t="s">
        <v>640</v>
      </c>
      <c r="P311" s="154" t="s">
        <v>335</v>
      </c>
      <c r="Q311" s="155">
        <f>0.432+0.043+0.065+0.01+0.035+0.055+0.015+0.035+0.015</f>
        <v>0.7050000000000002</v>
      </c>
      <c r="R311" s="150">
        <f t="shared" si="54"/>
        <v>1.3150000000000002</v>
      </c>
      <c r="S311" s="151">
        <v>6.1</v>
      </c>
      <c r="T311" s="147">
        <v>0</v>
      </c>
      <c r="U311" s="151">
        <f t="shared" si="56"/>
        <v>-4.784999999999999</v>
      </c>
      <c r="V311" s="147">
        <v>0</v>
      </c>
      <c r="W311" s="151">
        <f>1.05*4</f>
        <v>4.2</v>
      </c>
      <c r="X311" s="151">
        <f t="shared" si="57"/>
        <v>8.985</v>
      </c>
      <c r="Y311" s="151">
        <f t="shared" si="59"/>
        <v>8.985</v>
      </c>
      <c r="Z311" s="152" t="s">
        <v>435</v>
      </c>
    </row>
    <row r="312" spans="1:26" s="24" customFormat="1" ht="15">
      <c r="A312" s="147">
        <v>69</v>
      </c>
      <c r="B312" s="148" t="s">
        <v>641</v>
      </c>
      <c r="C312" s="149" t="s">
        <v>336</v>
      </c>
      <c r="D312" s="168">
        <v>0.08</v>
      </c>
      <c r="E312" s="151">
        <v>0.15</v>
      </c>
      <c r="F312" s="147">
        <v>120</v>
      </c>
      <c r="G312" s="151">
        <f t="shared" si="53"/>
        <v>-0.06999999999999999</v>
      </c>
      <c r="H312" s="147">
        <v>0</v>
      </c>
      <c r="I312" s="151">
        <f>1.05*1</f>
        <v>1.05</v>
      </c>
      <c r="J312" s="151">
        <f t="shared" si="55"/>
        <v>1.12</v>
      </c>
      <c r="K312" s="151">
        <f t="shared" si="58"/>
        <v>1.12</v>
      </c>
      <c r="L312" s="152" t="s">
        <v>435</v>
      </c>
      <c r="M312" s="131"/>
      <c r="N312" s="138">
        <v>71</v>
      </c>
      <c r="O312" s="153" t="s">
        <v>641</v>
      </c>
      <c r="P312" s="154" t="s">
        <v>336</v>
      </c>
      <c r="Q312" s="155">
        <f>0.0188+0.008</f>
        <v>0.0268</v>
      </c>
      <c r="R312" s="150">
        <f t="shared" si="54"/>
        <v>0.1068</v>
      </c>
      <c r="S312" s="151">
        <v>0.15</v>
      </c>
      <c r="T312" s="147">
        <v>120</v>
      </c>
      <c r="U312" s="151">
        <f t="shared" si="56"/>
        <v>-0.04319999999999999</v>
      </c>
      <c r="V312" s="147">
        <v>0</v>
      </c>
      <c r="W312" s="151">
        <f>1.05*1</f>
        <v>1.05</v>
      </c>
      <c r="X312" s="151">
        <f t="shared" si="57"/>
        <v>1.0932</v>
      </c>
      <c r="Y312" s="151">
        <f t="shared" si="59"/>
        <v>1.0932</v>
      </c>
      <c r="Z312" s="152" t="s">
        <v>435</v>
      </c>
    </row>
    <row r="313" spans="1:26" s="24" customFormat="1" ht="15">
      <c r="A313" s="147">
        <v>70</v>
      </c>
      <c r="B313" s="148" t="s">
        <v>642</v>
      </c>
      <c r="C313" s="149" t="s">
        <v>337</v>
      </c>
      <c r="D313" s="150">
        <v>1.05</v>
      </c>
      <c r="E313" s="151">
        <v>0.29</v>
      </c>
      <c r="F313" s="147">
        <v>120</v>
      </c>
      <c r="G313" s="151">
        <f t="shared" si="53"/>
        <v>0.76</v>
      </c>
      <c r="H313" s="147">
        <v>0</v>
      </c>
      <c r="I313" s="151">
        <f>1.05*2.5</f>
        <v>2.625</v>
      </c>
      <c r="J313" s="151">
        <f t="shared" si="55"/>
        <v>1.865</v>
      </c>
      <c r="K313" s="151">
        <f t="shared" si="58"/>
        <v>1.865</v>
      </c>
      <c r="L313" s="152" t="s">
        <v>435</v>
      </c>
      <c r="M313" s="131"/>
      <c r="N313" s="138">
        <v>72</v>
      </c>
      <c r="O313" s="153" t="s">
        <v>642</v>
      </c>
      <c r="P313" s="154" t="s">
        <v>337</v>
      </c>
      <c r="Q313" s="155">
        <f>0.076+0.01+0.021</f>
        <v>0.107</v>
      </c>
      <c r="R313" s="150">
        <f t="shared" si="54"/>
        <v>1.157</v>
      </c>
      <c r="S313" s="151">
        <v>0.29</v>
      </c>
      <c r="T313" s="147">
        <v>120</v>
      </c>
      <c r="U313" s="151">
        <f t="shared" si="56"/>
        <v>0.867</v>
      </c>
      <c r="V313" s="147">
        <v>0</v>
      </c>
      <c r="W313" s="151">
        <f>1.05*2.5</f>
        <v>2.625</v>
      </c>
      <c r="X313" s="151">
        <f t="shared" si="57"/>
        <v>1.758</v>
      </c>
      <c r="Y313" s="151">
        <f t="shared" si="59"/>
        <v>1.758</v>
      </c>
      <c r="Z313" s="152" t="s">
        <v>435</v>
      </c>
    </row>
    <row r="314" spans="1:26" s="24" customFormat="1" ht="15">
      <c r="A314" s="147">
        <v>71</v>
      </c>
      <c r="B314" s="148" t="s">
        <v>643</v>
      </c>
      <c r="C314" s="149" t="s">
        <v>325</v>
      </c>
      <c r="D314" s="150">
        <v>0.4</v>
      </c>
      <c r="E314" s="151">
        <v>0.41</v>
      </c>
      <c r="F314" s="147">
        <v>120</v>
      </c>
      <c r="G314" s="151">
        <f t="shared" si="53"/>
        <v>-0.009999999999999953</v>
      </c>
      <c r="H314" s="147">
        <v>0</v>
      </c>
      <c r="I314" s="151">
        <f>1.05*2.5</f>
        <v>2.625</v>
      </c>
      <c r="J314" s="151">
        <f t="shared" si="55"/>
        <v>2.635</v>
      </c>
      <c r="K314" s="151">
        <f t="shared" si="58"/>
        <v>2.635</v>
      </c>
      <c r="L314" s="152" t="s">
        <v>435</v>
      </c>
      <c r="M314" s="131"/>
      <c r="N314" s="138">
        <v>73</v>
      </c>
      <c r="O314" s="153" t="s">
        <v>643</v>
      </c>
      <c r="P314" s="154" t="s">
        <v>325</v>
      </c>
      <c r="Q314" s="155">
        <f>0.079+0.015+0.015</f>
        <v>0.109</v>
      </c>
      <c r="R314" s="150">
        <f aca="true" t="shared" si="60" ref="R314:R345">Q314+D314</f>
        <v>0.509</v>
      </c>
      <c r="S314" s="151">
        <v>0.41</v>
      </c>
      <c r="T314" s="147">
        <v>120</v>
      </c>
      <c r="U314" s="151">
        <f t="shared" si="56"/>
        <v>0.09900000000000003</v>
      </c>
      <c r="V314" s="147">
        <v>0</v>
      </c>
      <c r="W314" s="151">
        <f>1.05*2.5</f>
        <v>2.625</v>
      </c>
      <c r="X314" s="151">
        <f t="shared" si="57"/>
        <v>2.526</v>
      </c>
      <c r="Y314" s="151">
        <f t="shared" si="59"/>
        <v>2.526</v>
      </c>
      <c r="Z314" s="152" t="s">
        <v>435</v>
      </c>
    </row>
    <row r="315" spans="1:26" s="24" customFormat="1" ht="15">
      <c r="A315" s="147">
        <v>72</v>
      </c>
      <c r="B315" s="148" t="s">
        <v>644</v>
      </c>
      <c r="C315" s="149" t="s">
        <v>338</v>
      </c>
      <c r="D315" s="168">
        <v>1.37</v>
      </c>
      <c r="E315" s="151">
        <v>0.4</v>
      </c>
      <c r="F315" s="147">
        <v>120</v>
      </c>
      <c r="G315" s="151">
        <f t="shared" si="53"/>
        <v>0.9700000000000001</v>
      </c>
      <c r="H315" s="147">
        <v>0</v>
      </c>
      <c r="I315" s="151">
        <f>1.05*4</f>
        <v>4.2</v>
      </c>
      <c r="J315" s="151">
        <f t="shared" si="55"/>
        <v>3.23</v>
      </c>
      <c r="K315" s="151">
        <f t="shared" si="58"/>
        <v>3.23</v>
      </c>
      <c r="L315" s="152" t="s">
        <v>435</v>
      </c>
      <c r="M315" s="131"/>
      <c r="N315" s="138">
        <v>74</v>
      </c>
      <c r="O315" s="153" t="s">
        <v>644</v>
      </c>
      <c r="P315" s="154" t="s">
        <v>338</v>
      </c>
      <c r="Q315" s="155">
        <f>0.55+0.01+0.021+0.005+0.029</f>
        <v>0.6150000000000001</v>
      </c>
      <c r="R315" s="150">
        <f t="shared" si="60"/>
        <v>1.9850000000000003</v>
      </c>
      <c r="S315" s="151">
        <v>0.4</v>
      </c>
      <c r="T315" s="147">
        <v>120</v>
      </c>
      <c r="U315" s="151">
        <f t="shared" si="56"/>
        <v>1.5850000000000004</v>
      </c>
      <c r="V315" s="147">
        <v>0</v>
      </c>
      <c r="W315" s="151">
        <f>1.05*4</f>
        <v>4.2</v>
      </c>
      <c r="X315" s="151">
        <f t="shared" si="57"/>
        <v>2.6149999999999998</v>
      </c>
      <c r="Y315" s="151">
        <f t="shared" si="59"/>
        <v>2.6149999999999998</v>
      </c>
      <c r="Z315" s="152" t="s">
        <v>435</v>
      </c>
    </row>
    <row r="316" spans="1:26" s="24" customFormat="1" ht="15">
      <c r="A316" s="147">
        <v>73</v>
      </c>
      <c r="B316" s="148" t="s">
        <v>645</v>
      </c>
      <c r="C316" s="149" t="s">
        <v>339</v>
      </c>
      <c r="D316" s="150">
        <v>0.55</v>
      </c>
      <c r="E316" s="151">
        <v>0.22</v>
      </c>
      <c r="F316" s="147">
        <v>120</v>
      </c>
      <c r="G316" s="151">
        <f t="shared" si="53"/>
        <v>0.33000000000000007</v>
      </c>
      <c r="H316" s="147">
        <v>0</v>
      </c>
      <c r="I316" s="151">
        <f>1.05*1.6</f>
        <v>1.6800000000000002</v>
      </c>
      <c r="J316" s="151">
        <f t="shared" si="55"/>
        <v>1.35</v>
      </c>
      <c r="K316" s="151">
        <f t="shared" si="58"/>
        <v>1.35</v>
      </c>
      <c r="L316" s="152" t="s">
        <v>435</v>
      </c>
      <c r="M316" s="131"/>
      <c r="N316" s="138">
        <v>75</v>
      </c>
      <c r="O316" s="153" t="s">
        <v>645</v>
      </c>
      <c r="P316" s="154" t="s">
        <v>339</v>
      </c>
      <c r="Q316" s="155">
        <v>0.465</v>
      </c>
      <c r="R316" s="150">
        <f t="shared" si="60"/>
        <v>1.0150000000000001</v>
      </c>
      <c r="S316" s="151">
        <v>0.22</v>
      </c>
      <c r="T316" s="147">
        <v>120</v>
      </c>
      <c r="U316" s="151">
        <f t="shared" si="56"/>
        <v>0.7950000000000002</v>
      </c>
      <c r="V316" s="147">
        <v>0</v>
      </c>
      <c r="W316" s="151">
        <f>1.05*1.6</f>
        <v>1.6800000000000002</v>
      </c>
      <c r="X316" s="151">
        <f t="shared" si="57"/>
        <v>0.885</v>
      </c>
      <c r="Y316" s="151">
        <f t="shared" si="59"/>
        <v>0.885</v>
      </c>
      <c r="Z316" s="152" t="s">
        <v>435</v>
      </c>
    </row>
    <row r="317" spans="1:26" s="24" customFormat="1" ht="15">
      <c r="A317" s="147">
        <v>74</v>
      </c>
      <c r="B317" s="148" t="s">
        <v>646</v>
      </c>
      <c r="C317" s="149" t="s">
        <v>337</v>
      </c>
      <c r="D317" s="150">
        <v>0.4</v>
      </c>
      <c r="E317" s="151">
        <v>0.46</v>
      </c>
      <c r="F317" s="147">
        <v>120</v>
      </c>
      <c r="G317" s="151">
        <f t="shared" si="53"/>
        <v>-0.06</v>
      </c>
      <c r="H317" s="147">
        <v>0</v>
      </c>
      <c r="I317" s="151">
        <f>1.05*2.5</f>
        <v>2.625</v>
      </c>
      <c r="J317" s="151">
        <f t="shared" si="55"/>
        <v>2.685</v>
      </c>
      <c r="K317" s="151">
        <f t="shared" si="58"/>
        <v>2.685</v>
      </c>
      <c r="L317" s="152" t="s">
        <v>435</v>
      </c>
      <c r="M317" s="131"/>
      <c r="N317" s="138">
        <v>76</v>
      </c>
      <c r="O317" s="153" t="s">
        <v>646</v>
      </c>
      <c r="P317" s="154" t="s">
        <v>337</v>
      </c>
      <c r="Q317" s="155">
        <f>0.044+0.0234</f>
        <v>0.0674</v>
      </c>
      <c r="R317" s="150">
        <f t="shared" si="60"/>
        <v>0.46740000000000004</v>
      </c>
      <c r="S317" s="151">
        <v>0.46</v>
      </c>
      <c r="T317" s="147">
        <v>120</v>
      </c>
      <c r="U317" s="151">
        <f t="shared" si="56"/>
        <v>0.007400000000000018</v>
      </c>
      <c r="V317" s="147">
        <v>0</v>
      </c>
      <c r="W317" s="151">
        <f>1.05*2.5</f>
        <v>2.625</v>
      </c>
      <c r="X317" s="151">
        <f t="shared" si="57"/>
        <v>2.6176</v>
      </c>
      <c r="Y317" s="151">
        <f t="shared" si="59"/>
        <v>2.6176</v>
      </c>
      <c r="Z317" s="152" t="s">
        <v>435</v>
      </c>
    </row>
    <row r="318" spans="1:26" s="24" customFormat="1" ht="15">
      <c r="A318" s="147">
        <v>75</v>
      </c>
      <c r="B318" s="148" t="s">
        <v>647</v>
      </c>
      <c r="C318" s="149" t="s">
        <v>335</v>
      </c>
      <c r="D318" s="168">
        <v>0.4</v>
      </c>
      <c r="E318" s="151">
        <v>0</v>
      </c>
      <c r="F318" s="147">
        <v>0</v>
      </c>
      <c r="G318" s="151">
        <f t="shared" si="53"/>
        <v>0.4</v>
      </c>
      <c r="H318" s="147">
        <v>0</v>
      </c>
      <c r="I318" s="151">
        <f>1.05*4</f>
        <v>4.2</v>
      </c>
      <c r="J318" s="151">
        <f t="shared" si="55"/>
        <v>3.8000000000000003</v>
      </c>
      <c r="K318" s="151">
        <f t="shared" si="58"/>
        <v>3.8000000000000003</v>
      </c>
      <c r="L318" s="152" t="s">
        <v>435</v>
      </c>
      <c r="M318" s="131"/>
      <c r="N318" s="138">
        <v>77</v>
      </c>
      <c r="O318" s="153" t="s">
        <v>647</v>
      </c>
      <c r="P318" s="154" t="s">
        <v>335</v>
      </c>
      <c r="Q318" s="155">
        <f>0.025+0.008+0.014</f>
        <v>0.047</v>
      </c>
      <c r="R318" s="150">
        <f t="shared" si="60"/>
        <v>0.447</v>
      </c>
      <c r="S318" s="151">
        <v>0</v>
      </c>
      <c r="T318" s="147">
        <v>0</v>
      </c>
      <c r="U318" s="151">
        <f t="shared" si="56"/>
        <v>0.447</v>
      </c>
      <c r="V318" s="147">
        <v>0</v>
      </c>
      <c r="W318" s="151">
        <f>1.05*4</f>
        <v>4.2</v>
      </c>
      <c r="X318" s="151">
        <f t="shared" si="57"/>
        <v>3.753</v>
      </c>
      <c r="Y318" s="151">
        <f t="shared" si="59"/>
        <v>3.753</v>
      </c>
      <c r="Z318" s="152" t="s">
        <v>435</v>
      </c>
    </row>
    <row r="319" spans="1:26" s="24" customFormat="1" ht="15">
      <c r="A319" s="147">
        <v>76</v>
      </c>
      <c r="B319" s="148" t="s">
        <v>648</v>
      </c>
      <c r="C319" s="149" t="s">
        <v>324</v>
      </c>
      <c r="D319" s="150">
        <v>2.37</v>
      </c>
      <c r="E319" s="151">
        <v>0.46</v>
      </c>
      <c r="F319" s="147">
        <v>120</v>
      </c>
      <c r="G319" s="151">
        <f t="shared" si="53"/>
        <v>1.9100000000000001</v>
      </c>
      <c r="H319" s="147">
        <v>0</v>
      </c>
      <c r="I319" s="151">
        <f>1.05*6.3</f>
        <v>6.615</v>
      </c>
      <c r="J319" s="151">
        <f t="shared" si="55"/>
        <v>4.705</v>
      </c>
      <c r="K319" s="151">
        <f t="shared" si="58"/>
        <v>4.705</v>
      </c>
      <c r="L319" s="152" t="s">
        <v>435</v>
      </c>
      <c r="M319" s="131"/>
      <c r="N319" s="138">
        <v>78</v>
      </c>
      <c r="O319" s="153" t="s">
        <v>648</v>
      </c>
      <c r="P319" s="154" t="s">
        <v>324</v>
      </c>
      <c r="Q319" s="155">
        <f>0.274+0.032+0.017+0.031+0.008+0.0146+0.012+0.039</f>
        <v>0.4276000000000001</v>
      </c>
      <c r="R319" s="150">
        <f t="shared" si="60"/>
        <v>2.7976</v>
      </c>
      <c r="S319" s="151">
        <v>0.46</v>
      </c>
      <c r="T319" s="147">
        <v>120</v>
      </c>
      <c r="U319" s="151">
        <f t="shared" si="56"/>
        <v>2.3376</v>
      </c>
      <c r="V319" s="147">
        <v>0</v>
      </c>
      <c r="W319" s="151">
        <f>1.05*6.3</f>
        <v>6.615</v>
      </c>
      <c r="X319" s="151">
        <f t="shared" si="57"/>
        <v>4.2774</v>
      </c>
      <c r="Y319" s="151">
        <f t="shared" si="59"/>
        <v>4.2774</v>
      </c>
      <c r="Z319" s="152" t="s">
        <v>435</v>
      </c>
    </row>
    <row r="320" spans="1:26" s="24" customFormat="1" ht="15">
      <c r="A320" s="147">
        <v>77</v>
      </c>
      <c r="B320" s="148" t="s">
        <v>649</v>
      </c>
      <c r="C320" s="149" t="s">
        <v>325</v>
      </c>
      <c r="D320" s="150">
        <v>1.38</v>
      </c>
      <c r="E320" s="151">
        <v>0.51</v>
      </c>
      <c r="F320" s="147">
        <v>120</v>
      </c>
      <c r="G320" s="151">
        <f t="shared" si="53"/>
        <v>0.8699999999999999</v>
      </c>
      <c r="H320" s="147">
        <v>0</v>
      </c>
      <c r="I320" s="151">
        <f>1.05*2.5</f>
        <v>2.625</v>
      </c>
      <c r="J320" s="151">
        <f t="shared" si="55"/>
        <v>1.7550000000000001</v>
      </c>
      <c r="K320" s="151">
        <f t="shared" si="58"/>
        <v>1.7550000000000001</v>
      </c>
      <c r="L320" s="152" t="s">
        <v>435</v>
      </c>
      <c r="M320" s="131"/>
      <c r="N320" s="138">
        <v>79</v>
      </c>
      <c r="O320" s="153" t="s">
        <v>649</v>
      </c>
      <c r="P320" s="154" t="s">
        <v>325</v>
      </c>
      <c r="Q320" s="155">
        <f>0.15+0.027+0.015+0.015+0.015+0.008</f>
        <v>0.23000000000000004</v>
      </c>
      <c r="R320" s="150">
        <f t="shared" si="60"/>
        <v>1.6099999999999999</v>
      </c>
      <c r="S320" s="151">
        <v>0.51</v>
      </c>
      <c r="T320" s="147">
        <v>120</v>
      </c>
      <c r="U320" s="151">
        <f t="shared" si="56"/>
        <v>1.0999999999999999</v>
      </c>
      <c r="V320" s="147">
        <v>0</v>
      </c>
      <c r="W320" s="151">
        <f>1.05*2.5</f>
        <v>2.625</v>
      </c>
      <c r="X320" s="151">
        <f t="shared" si="57"/>
        <v>1.5250000000000001</v>
      </c>
      <c r="Y320" s="151">
        <f t="shared" si="59"/>
        <v>1.5250000000000001</v>
      </c>
      <c r="Z320" s="152" t="s">
        <v>435</v>
      </c>
    </row>
    <row r="321" spans="1:26" s="24" customFormat="1" ht="15">
      <c r="A321" s="147">
        <v>78</v>
      </c>
      <c r="B321" s="148" t="s">
        <v>650</v>
      </c>
      <c r="C321" s="149" t="s">
        <v>339</v>
      </c>
      <c r="D321" s="150">
        <v>0.44</v>
      </c>
      <c r="E321" s="151">
        <v>0.17</v>
      </c>
      <c r="F321" s="147">
        <v>120</v>
      </c>
      <c r="G321" s="151">
        <f t="shared" si="53"/>
        <v>0.27</v>
      </c>
      <c r="H321" s="147">
        <v>0</v>
      </c>
      <c r="I321" s="151">
        <f>1.05*1.6</f>
        <v>1.6800000000000002</v>
      </c>
      <c r="J321" s="151">
        <f t="shared" si="55"/>
        <v>1.4100000000000001</v>
      </c>
      <c r="K321" s="151">
        <f t="shared" si="58"/>
        <v>1.4100000000000001</v>
      </c>
      <c r="L321" s="152" t="s">
        <v>435</v>
      </c>
      <c r="M321" s="131"/>
      <c r="N321" s="138">
        <v>80</v>
      </c>
      <c r="O321" s="153" t="s">
        <v>650</v>
      </c>
      <c r="P321" s="154" t="s">
        <v>339</v>
      </c>
      <c r="Q321" s="155">
        <f>0.009+0.008</f>
        <v>0.017</v>
      </c>
      <c r="R321" s="150">
        <f t="shared" si="60"/>
        <v>0.457</v>
      </c>
      <c r="S321" s="151">
        <v>0.17</v>
      </c>
      <c r="T321" s="147">
        <v>120</v>
      </c>
      <c r="U321" s="151">
        <f t="shared" si="56"/>
        <v>0.28700000000000003</v>
      </c>
      <c r="V321" s="147">
        <v>0</v>
      </c>
      <c r="W321" s="151">
        <f>1.05*1.6</f>
        <v>1.6800000000000002</v>
      </c>
      <c r="X321" s="151">
        <f t="shared" si="57"/>
        <v>1.3930000000000002</v>
      </c>
      <c r="Y321" s="151">
        <f t="shared" si="59"/>
        <v>1.3930000000000002</v>
      </c>
      <c r="Z321" s="152" t="s">
        <v>435</v>
      </c>
    </row>
    <row r="322" spans="1:26" s="24" customFormat="1" ht="15">
      <c r="A322" s="147">
        <v>79</v>
      </c>
      <c r="B322" s="148" t="s">
        <v>651</v>
      </c>
      <c r="C322" s="149" t="s">
        <v>335</v>
      </c>
      <c r="D322" s="150">
        <v>2.33</v>
      </c>
      <c r="E322" s="151">
        <v>0.7</v>
      </c>
      <c r="F322" s="147">
        <v>45</v>
      </c>
      <c r="G322" s="151">
        <f t="shared" si="53"/>
        <v>1.6300000000000001</v>
      </c>
      <c r="H322" s="147">
        <v>0</v>
      </c>
      <c r="I322" s="151">
        <f>1.05*4</f>
        <v>4.2</v>
      </c>
      <c r="J322" s="151">
        <f t="shared" si="55"/>
        <v>2.5700000000000003</v>
      </c>
      <c r="K322" s="151">
        <f t="shared" si="58"/>
        <v>2.5700000000000003</v>
      </c>
      <c r="L322" s="152" t="s">
        <v>435</v>
      </c>
      <c r="M322" s="131"/>
      <c r="N322" s="138">
        <v>81</v>
      </c>
      <c r="O322" s="153" t="s">
        <v>651</v>
      </c>
      <c r="P322" s="154" t="s">
        <v>335</v>
      </c>
      <c r="Q322" s="155"/>
      <c r="R322" s="150">
        <f t="shared" si="60"/>
        <v>2.33</v>
      </c>
      <c r="S322" s="151">
        <v>0.7</v>
      </c>
      <c r="T322" s="147">
        <v>45</v>
      </c>
      <c r="U322" s="151">
        <f t="shared" si="56"/>
        <v>1.6300000000000001</v>
      </c>
      <c r="V322" s="147">
        <v>0</v>
      </c>
      <c r="W322" s="151">
        <f>1.05*4</f>
        <v>4.2</v>
      </c>
      <c r="X322" s="151">
        <f t="shared" si="57"/>
        <v>2.5700000000000003</v>
      </c>
      <c r="Y322" s="151">
        <f t="shared" si="59"/>
        <v>2.5700000000000003</v>
      </c>
      <c r="Z322" s="152" t="s">
        <v>435</v>
      </c>
    </row>
    <row r="323" spans="1:26" s="24" customFormat="1" ht="15">
      <c r="A323" s="147">
        <v>80</v>
      </c>
      <c r="B323" s="148" t="s">
        <v>652</v>
      </c>
      <c r="C323" s="149" t="s">
        <v>325</v>
      </c>
      <c r="D323" s="150">
        <v>1.2</v>
      </c>
      <c r="E323" s="151">
        <v>1.69</v>
      </c>
      <c r="F323" s="147">
        <v>20</v>
      </c>
      <c r="G323" s="151">
        <f t="shared" si="53"/>
        <v>-0.49</v>
      </c>
      <c r="H323" s="147">
        <v>0</v>
      </c>
      <c r="I323" s="151">
        <f>1.05*2.5</f>
        <v>2.625</v>
      </c>
      <c r="J323" s="151">
        <f t="shared" si="55"/>
        <v>3.115</v>
      </c>
      <c r="K323" s="151">
        <f t="shared" si="58"/>
        <v>3.115</v>
      </c>
      <c r="L323" s="152" t="s">
        <v>435</v>
      </c>
      <c r="M323" s="131"/>
      <c r="N323" s="138">
        <v>82</v>
      </c>
      <c r="O323" s="153" t="s">
        <v>652</v>
      </c>
      <c r="P323" s="154" t="s">
        <v>325</v>
      </c>
      <c r="Q323" s="155">
        <f>0.024+0.012+0.007</f>
        <v>0.043000000000000003</v>
      </c>
      <c r="R323" s="150">
        <f t="shared" si="60"/>
        <v>1.2429999999999999</v>
      </c>
      <c r="S323" s="151">
        <v>1.69</v>
      </c>
      <c r="T323" s="147">
        <v>20</v>
      </c>
      <c r="U323" s="151">
        <f t="shared" si="56"/>
        <v>-0.44700000000000006</v>
      </c>
      <c r="V323" s="147">
        <v>0</v>
      </c>
      <c r="W323" s="151">
        <f>1.05*2.5</f>
        <v>2.625</v>
      </c>
      <c r="X323" s="151">
        <f t="shared" si="57"/>
        <v>3.072</v>
      </c>
      <c r="Y323" s="151">
        <f t="shared" si="59"/>
        <v>3.072</v>
      </c>
      <c r="Z323" s="152" t="s">
        <v>435</v>
      </c>
    </row>
    <row r="324" spans="1:26" s="24" customFormat="1" ht="15">
      <c r="A324" s="147">
        <v>81</v>
      </c>
      <c r="B324" s="148" t="s">
        <v>653</v>
      </c>
      <c r="C324" s="149" t="s">
        <v>339</v>
      </c>
      <c r="D324" s="150">
        <v>0.25</v>
      </c>
      <c r="E324" s="151">
        <v>0.38</v>
      </c>
      <c r="F324" s="147">
        <v>120</v>
      </c>
      <c r="G324" s="151">
        <f t="shared" si="53"/>
        <v>-0.13</v>
      </c>
      <c r="H324" s="147">
        <v>0</v>
      </c>
      <c r="I324" s="151">
        <f>1.05*1.6</f>
        <v>1.6800000000000002</v>
      </c>
      <c r="J324" s="151">
        <f t="shared" si="55"/>
        <v>1.81</v>
      </c>
      <c r="K324" s="151">
        <f t="shared" si="58"/>
        <v>1.81</v>
      </c>
      <c r="L324" s="152" t="s">
        <v>435</v>
      </c>
      <c r="M324" s="131"/>
      <c r="N324" s="138">
        <v>83</v>
      </c>
      <c r="O324" s="153" t="s">
        <v>653</v>
      </c>
      <c r="P324" s="154" t="s">
        <v>339</v>
      </c>
      <c r="Q324" s="155">
        <v>0.042</v>
      </c>
      <c r="R324" s="150">
        <f t="shared" si="60"/>
        <v>0.292</v>
      </c>
      <c r="S324" s="151">
        <v>0.38</v>
      </c>
      <c r="T324" s="147">
        <v>120</v>
      </c>
      <c r="U324" s="151">
        <f t="shared" si="56"/>
        <v>-0.08800000000000002</v>
      </c>
      <c r="V324" s="147">
        <v>0</v>
      </c>
      <c r="W324" s="151">
        <f>1.05*1.6</f>
        <v>1.6800000000000002</v>
      </c>
      <c r="X324" s="151">
        <f t="shared" si="57"/>
        <v>1.7680000000000002</v>
      </c>
      <c r="Y324" s="151">
        <f t="shared" si="59"/>
        <v>1.7680000000000002</v>
      </c>
      <c r="Z324" s="152" t="s">
        <v>435</v>
      </c>
    </row>
    <row r="325" spans="1:26" s="24" customFormat="1" ht="15">
      <c r="A325" s="147">
        <v>82</v>
      </c>
      <c r="B325" s="148" t="s">
        <v>654</v>
      </c>
      <c r="C325" s="149" t="s">
        <v>337</v>
      </c>
      <c r="D325" s="150">
        <v>3.44</v>
      </c>
      <c r="E325" s="151">
        <v>3.5</v>
      </c>
      <c r="F325" s="147">
        <v>0</v>
      </c>
      <c r="G325" s="151">
        <f t="shared" si="53"/>
        <v>-0.06000000000000005</v>
      </c>
      <c r="H325" s="147">
        <v>0</v>
      </c>
      <c r="I325" s="151">
        <f>1.05*2.5</f>
        <v>2.625</v>
      </c>
      <c r="J325" s="151">
        <f t="shared" si="55"/>
        <v>2.685</v>
      </c>
      <c r="K325" s="151">
        <f t="shared" si="58"/>
        <v>2.685</v>
      </c>
      <c r="L325" s="152" t="s">
        <v>435</v>
      </c>
      <c r="M325" s="131"/>
      <c r="N325" s="138">
        <v>84</v>
      </c>
      <c r="O325" s="153" t="s">
        <v>654</v>
      </c>
      <c r="P325" s="154" t="s">
        <v>337</v>
      </c>
      <c r="Q325" s="155">
        <f>0.115+0.03</f>
        <v>0.14500000000000002</v>
      </c>
      <c r="R325" s="150">
        <f t="shared" si="60"/>
        <v>3.585</v>
      </c>
      <c r="S325" s="151">
        <v>3.5</v>
      </c>
      <c r="T325" s="147">
        <v>0</v>
      </c>
      <c r="U325" s="151">
        <f t="shared" si="56"/>
        <v>0.08499999999999996</v>
      </c>
      <c r="V325" s="147">
        <v>0</v>
      </c>
      <c r="W325" s="151">
        <f>1.05*2.5</f>
        <v>2.625</v>
      </c>
      <c r="X325" s="151">
        <f t="shared" si="57"/>
        <v>2.54</v>
      </c>
      <c r="Y325" s="151">
        <f t="shared" si="59"/>
        <v>2.54</v>
      </c>
      <c r="Z325" s="152" t="s">
        <v>435</v>
      </c>
    </row>
    <row r="326" spans="1:26" s="24" customFormat="1" ht="15">
      <c r="A326" s="147">
        <v>83</v>
      </c>
      <c r="B326" s="148" t="s">
        <v>655</v>
      </c>
      <c r="C326" s="149" t="s">
        <v>325</v>
      </c>
      <c r="D326" s="150">
        <v>0.86</v>
      </c>
      <c r="E326" s="151">
        <v>0.26</v>
      </c>
      <c r="F326" s="147">
        <v>120</v>
      </c>
      <c r="G326" s="151">
        <f t="shared" si="53"/>
        <v>0.6</v>
      </c>
      <c r="H326" s="147">
        <v>0</v>
      </c>
      <c r="I326" s="151">
        <f>1.05*2.5</f>
        <v>2.625</v>
      </c>
      <c r="J326" s="151">
        <f t="shared" si="55"/>
        <v>2.025</v>
      </c>
      <c r="K326" s="151">
        <f t="shared" si="58"/>
        <v>2.025</v>
      </c>
      <c r="L326" s="152" t="s">
        <v>435</v>
      </c>
      <c r="M326" s="131"/>
      <c r="N326" s="138">
        <v>85</v>
      </c>
      <c r="O326" s="153" t="s">
        <v>655</v>
      </c>
      <c r="P326" s="154" t="s">
        <v>325</v>
      </c>
      <c r="Q326" s="155">
        <v>0.005</v>
      </c>
      <c r="R326" s="150">
        <f t="shared" si="60"/>
        <v>0.865</v>
      </c>
      <c r="S326" s="151">
        <v>0.26</v>
      </c>
      <c r="T326" s="147">
        <v>120</v>
      </c>
      <c r="U326" s="151">
        <f t="shared" si="56"/>
        <v>0.605</v>
      </c>
      <c r="V326" s="147">
        <v>0</v>
      </c>
      <c r="W326" s="151">
        <f>1.05*2.5</f>
        <v>2.625</v>
      </c>
      <c r="X326" s="151">
        <f t="shared" si="57"/>
        <v>2.02</v>
      </c>
      <c r="Y326" s="151">
        <f t="shared" si="59"/>
        <v>2.02</v>
      </c>
      <c r="Z326" s="152" t="s">
        <v>435</v>
      </c>
    </row>
    <row r="327" spans="1:26" s="24" customFormat="1" ht="15">
      <c r="A327" s="147">
        <v>84</v>
      </c>
      <c r="B327" s="148" t="s">
        <v>656</v>
      </c>
      <c r="C327" s="149" t="s">
        <v>329</v>
      </c>
      <c r="D327" s="150">
        <v>10.39</v>
      </c>
      <c r="E327" s="151">
        <v>2.5</v>
      </c>
      <c r="F327" s="147">
        <v>0</v>
      </c>
      <c r="G327" s="151">
        <f t="shared" si="53"/>
        <v>7.890000000000001</v>
      </c>
      <c r="H327" s="147">
        <v>0</v>
      </c>
      <c r="I327" s="151">
        <f>1.05*10</f>
        <v>10.5</v>
      </c>
      <c r="J327" s="151">
        <f t="shared" si="55"/>
        <v>2.6099999999999994</v>
      </c>
      <c r="K327" s="151">
        <f t="shared" si="58"/>
        <v>2.6099999999999994</v>
      </c>
      <c r="L327" s="152" t="s">
        <v>435</v>
      </c>
      <c r="M327" s="131"/>
      <c r="N327" s="138">
        <v>86</v>
      </c>
      <c r="O327" s="153" t="s">
        <v>656</v>
      </c>
      <c r="P327" s="154" t="s">
        <v>329</v>
      </c>
      <c r="Q327" s="155">
        <v>0.01</v>
      </c>
      <c r="R327" s="150">
        <f t="shared" si="60"/>
        <v>10.4</v>
      </c>
      <c r="S327" s="151">
        <v>2.5</v>
      </c>
      <c r="T327" s="147">
        <v>0</v>
      </c>
      <c r="U327" s="151">
        <f t="shared" si="56"/>
        <v>7.9</v>
      </c>
      <c r="V327" s="147">
        <v>0</v>
      </c>
      <c r="W327" s="151">
        <f>1.05*10</f>
        <v>10.5</v>
      </c>
      <c r="X327" s="151">
        <f t="shared" si="57"/>
        <v>2.5999999999999996</v>
      </c>
      <c r="Y327" s="151">
        <f t="shared" si="59"/>
        <v>2.5999999999999996</v>
      </c>
      <c r="Z327" s="152" t="s">
        <v>435</v>
      </c>
    </row>
    <row r="328" spans="1:26" s="24" customFormat="1" ht="30" customHeight="1">
      <c r="A328" s="147">
        <v>85</v>
      </c>
      <c r="B328" s="148" t="s">
        <v>657</v>
      </c>
      <c r="C328" s="149" t="s">
        <v>335</v>
      </c>
      <c r="D328" s="150">
        <v>0.98</v>
      </c>
      <c r="E328" s="151">
        <v>1.67</v>
      </c>
      <c r="F328" s="147">
        <v>0</v>
      </c>
      <c r="G328" s="151">
        <f t="shared" si="53"/>
        <v>-0.69</v>
      </c>
      <c r="H328" s="147">
        <v>0</v>
      </c>
      <c r="I328" s="151">
        <f>1.05*4</f>
        <v>4.2</v>
      </c>
      <c r="J328" s="151">
        <f t="shared" si="55"/>
        <v>4.890000000000001</v>
      </c>
      <c r="K328" s="151">
        <f t="shared" si="58"/>
        <v>4.890000000000001</v>
      </c>
      <c r="L328" s="152" t="s">
        <v>435</v>
      </c>
      <c r="M328" s="131"/>
      <c r="N328" s="138">
        <v>87</v>
      </c>
      <c r="O328" s="153" t="s">
        <v>657</v>
      </c>
      <c r="P328" s="154" t="s">
        <v>335</v>
      </c>
      <c r="Q328" s="155">
        <f>0.635+0.019+0.015+0.004</f>
        <v>0.673</v>
      </c>
      <c r="R328" s="150">
        <f t="shared" si="60"/>
        <v>1.653</v>
      </c>
      <c r="S328" s="151">
        <v>1.67</v>
      </c>
      <c r="T328" s="147">
        <v>0</v>
      </c>
      <c r="U328" s="151">
        <f t="shared" si="56"/>
        <v>-0.016999999999999904</v>
      </c>
      <c r="V328" s="147">
        <v>0</v>
      </c>
      <c r="W328" s="151">
        <f>1.05*4</f>
        <v>4.2</v>
      </c>
      <c r="X328" s="151">
        <f t="shared" si="57"/>
        <v>4.2170000000000005</v>
      </c>
      <c r="Y328" s="151">
        <f t="shared" si="59"/>
        <v>4.2170000000000005</v>
      </c>
      <c r="Z328" s="152" t="s">
        <v>435</v>
      </c>
    </row>
    <row r="329" spans="1:26" s="24" customFormat="1" ht="15">
      <c r="A329" s="147">
        <v>86</v>
      </c>
      <c r="B329" s="148" t="s">
        <v>658</v>
      </c>
      <c r="C329" s="149" t="s">
        <v>334</v>
      </c>
      <c r="D329" s="150">
        <v>0.9</v>
      </c>
      <c r="E329" s="151">
        <v>0.93</v>
      </c>
      <c r="F329" s="147">
        <v>45</v>
      </c>
      <c r="G329" s="151">
        <f t="shared" si="53"/>
        <v>-0.030000000000000027</v>
      </c>
      <c r="H329" s="147">
        <v>0</v>
      </c>
      <c r="I329" s="151">
        <f>1.05*1.6</f>
        <v>1.6800000000000002</v>
      </c>
      <c r="J329" s="151">
        <f t="shared" si="55"/>
        <v>1.7100000000000002</v>
      </c>
      <c r="K329" s="151">
        <f t="shared" si="58"/>
        <v>1.7100000000000002</v>
      </c>
      <c r="L329" s="152" t="s">
        <v>435</v>
      </c>
      <c r="M329" s="131"/>
      <c r="N329" s="138">
        <v>88</v>
      </c>
      <c r="O329" s="153" t="s">
        <v>658</v>
      </c>
      <c r="P329" s="154" t="s">
        <v>334</v>
      </c>
      <c r="Q329" s="155">
        <f>0.159+0.015+0.042+0.015+0.015+0.006</f>
        <v>0.252</v>
      </c>
      <c r="R329" s="150">
        <f t="shared" si="60"/>
        <v>1.1520000000000001</v>
      </c>
      <c r="S329" s="151">
        <v>0.93</v>
      </c>
      <c r="T329" s="147">
        <v>45</v>
      </c>
      <c r="U329" s="151">
        <f t="shared" si="56"/>
        <v>0.2220000000000001</v>
      </c>
      <c r="V329" s="147">
        <v>0</v>
      </c>
      <c r="W329" s="151">
        <f>1.05*1.6</f>
        <v>1.6800000000000002</v>
      </c>
      <c r="X329" s="151">
        <f t="shared" si="57"/>
        <v>1.4580000000000002</v>
      </c>
      <c r="Y329" s="151">
        <f t="shared" si="59"/>
        <v>1.4580000000000002</v>
      </c>
      <c r="Z329" s="152" t="s">
        <v>435</v>
      </c>
    </row>
    <row r="330" spans="1:26" s="24" customFormat="1" ht="15">
      <c r="A330" s="147">
        <v>87</v>
      </c>
      <c r="B330" s="148" t="s">
        <v>659</v>
      </c>
      <c r="C330" s="149" t="s">
        <v>324</v>
      </c>
      <c r="D330" s="150">
        <v>2.29</v>
      </c>
      <c r="E330" s="151">
        <v>2.69</v>
      </c>
      <c r="F330" s="147">
        <v>80</v>
      </c>
      <c r="G330" s="151">
        <f t="shared" si="53"/>
        <v>-0.3999999999999999</v>
      </c>
      <c r="H330" s="147">
        <v>0</v>
      </c>
      <c r="I330" s="151">
        <f>1.05*6.3</f>
        <v>6.615</v>
      </c>
      <c r="J330" s="151">
        <f t="shared" si="55"/>
        <v>7.015000000000001</v>
      </c>
      <c r="K330" s="151">
        <f t="shared" si="58"/>
        <v>7.015000000000001</v>
      </c>
      <c r="L330" s="152" t="s">
        <v>435</v>
      </c>
      <c r="M330" s="131"/>
      <c r="N330" s="138">
        <v>89</v>
      </c>
      <c r="O330" s="153" t="s">
        <v>659</v>
      </c>
      <c r="P330" s="154" t="s">
        <v>324</v>
      </c>
      <c r="Q330" s="155">
        <f>0.09+0.005+0.012+0.03+0.101+0.015+0.008+0.0008</f>
        <v>0.26180000000000003</v>
      </c>
      <c r="R330" s="150">
        <f t="shared" si="60"/>
        <v>2.5518</v>
      </c>
      <c r="S330" s="151">
        <v>2.69</v>
      </c>
      <c r="T330" s="147">
        <v>80</v>
      </c>
      <c r="U330" s="151">
        <f t="shared" si="56"/>
        <v>-0.13819999999999988</v>
      </c>
      <c r="V330" s="147">
        <v>0</v>
      </c>
      <c r="W330" s="151">
        <f>1.05*6.3</f>
        <v>6.615</v>
      </c>
      <c r="X330" s="151">
        <f t="shared" si="57"/>
        <v>6.7532</v>
      </c>
      <c r="Y330" s="151">
        <f t="shared" si="59"/>
        <v>6.7532</v>
      </c>
      <c r="Z330" s="152" t="s">
        <v>435</v>
      </c>
    </row>
    <row r="331" spans="1:26" s="24" customFormat="1" ht="15">
      <c r="A331" s="147">
        <v>88</v>
      </c>
      <c r="B331" s="148" t="s">
        <v>660</v>
      </c>
      <c r="C331" s="149" t="s">
        <v>340</v>
      </c>
      <c r="D331" s="168">
        <v>0.4</v>
      </c>
      <c r="E331" s="151">
        <v>0.5</v>
      </c>
      <c r="F331" s="147">
        <v>120</v>
      </c>
      <c r="G331" s="151">
        <f t="shared" si="53"/>
        <v>-0.09999999999999998</v>
      </c>
      <c r="H331" s="147">
        <v>0</v>
      </c>
      <c r="I331" s="151">
        <f>1.05*1.8</f>
        <v>1.8900000000000001</v>
      </c>
      <c r="J331" s="151">
        <f t="shared" si="55"/>
        <v>1.9900000000000002</v>
      </c>
      <c r="K331" s="151">
        <f t="shared" si="58"/>
        <v>1.9900000000000002</v>
      </c>
      <c r="L331" s="152" t="s">
        <v>435</v>
      </c>
      <c r="M331" s="131"/>
      <c r="N331" s="138">
        <v>90</v>
      </c>
      <c r="O331" s="153" t="s">
        <v>660</v>
      </c>
      <c r="P331" s="154" t="s">
        <v>340</v>
      </c>
      <c r="Q331" s="155">
        <v>0.0034</v>
      </c>
      <c r="R331" s="150">
        <f t="shared" si="60"/>
        <v>0.40340000000000004</v>
      </c>
      <c r="S331" s="151">
        <v>0.5</v>
      </c>
      <c r="T331" s="147">
        <v>120</v>
      </c>
      <c r="U331" s="151">
        <f t="shared" si="56"/>
        <v>-0.09659999999999996</v>
      </c>
      <c r="V331" s="147">
        <v>0</v>
      </c>
      <c r="W331" s="151">
        <f>1.05*1.8</f>
        <v>1.8900000000000001</v>
      </c>
      <c r="X331" s="151">
        <f t="shared" si="57"/>
        <v>1.9866000000000001</v>
      </c>
      <c r="Y331" s="151">
        <f t="shared" si="59"/>
        <v>1.9866000000000001</v>
      </c>
      <c r="Z331" s="152" t="s">
        <v>435</v>
      </c>
    </row>
    <row r="332" spans="1:26" s="24" customFormat="1" ht="15">
      <c r="A332" s="147">
        <v>89</v>
      </c>
      <c r="B332" s="148" t="s">
        <v>661</v>
      </c>
      <c r="C332" s="149" t="s">
        <v>339</v>
      </c>
      <c r="D332" s="168">
        <v>0.33</v>
      </c>
      <c r="E332" s="151">
        <v>0.52</v>
      </c>
      <c r="F332" s="147">
        <v>120</v>
      </c>
      <c r="G332" s="151">
        <f t="shared" si="53"/>
        <v>-0.19</v>
      </c>
      <c r="H332" s="147">
        <v>0</v>
      </c>
      <c r="I332" s="151">
        <f>1.05*1.6</f>
        <v>1.6800000000000002</v>
      </c>
      <c r="J332" s="151">
        <f t="shared" si="55"/>
        <v>1.87</v>
      </c>
      <c r="K332" s="151">
        <f t="shared" si="58"/>
        <v>1.87</v>
      </c>
      <c r="L332" s="152" t="s">
        <v>435</v>
      </c>
      <c r="M332" s="131"/>
      <c r="N332" s="138">
        <v>91</v>
      </c>
      <c r="O332" s="153" t="s">
        <v>661</v>
      </c>
      <c r="P332" s="154" t="s">
        <v>339</v>
      </c>
      <c r="Q332" s="155">
        <v>0.015</v>
      </c>
      <c r="R332" s="150">
        <f t="shared" si="60"/>
        <v>0.34500000000000003</v>
      </c>
      <c r="S332" s="151">
        <v>0.52</v>
      </c>
      <c r="T332" s="147">
        <v>120</v>
      </c>
      <c r="U332" s="151">
        <f t="shared" si="56"/>
        <v>-0.175</v>
      </c>
      <c r="V332" s="147">
        <v>0</v>
      </c>
      <c r="W332" s="151">
        <f>1.05*1.6</f>
        <v>1.6800000000000002</v>
      </c>
      <c r="X332" s="151">
        <f t="shared" si="57"/>
        <v>1.8550000000000002</v>
      </c>
      <c r="Y332" s="151">
        <f t="shared" si="59"/>
        <v>1.8550000000000002</v>
      </c>
      <c r="Z332" s="152" t="s">
        <v>435</v>
      </c>
    </row>
    <row r="333" spans="1:27" s="27" customFormat="1" ht="15">
      <c r="A333" s="147">
        <v>90</v>
      </c>
      <c r="B333" s="148" t="s">
        <v>662</v>
      </c>
      <c r="C333" s="149" t="s">
        <v>329</v>
      </c>
      <c r="D333" s="150">
        <v>9.78</v>
      </c>
      <c r="E333" s="151">
        <v>6.25</v>
      </c>
      <c r="F333" s="147">
        <v>20</v>
      </c>
      <c r="G333" s="151">
        <f t="shared" si="53"/>
        <v>3.5299999999999994</v>
      </c>
      <c r="H333" s="147">
        <v>0</v>
      </c>
      <c r="I333" s="151">
        <f>1.05*10</f>
        <v>10.5</v>
      </c>
      <c r="J333" s="151">
        <f t="shared" si="55"/>
        <v>6.970000000000001</v>
      </c>
      <c r="K333" s="151">
        <f t="shared" si="58"/>
        <v>6.970000000000001</v>
      </c>
      <c r="L333" s="152" t="s">
        <v>435</v>
      </c>
      <c r="M333" s="131"/>
      <c r="N333" s="138">
        <v>92</v>
      </c>
      <c r="O333" s="188" t="s">
        <v>662</v>
      </c>
      <c r="P333" s="143" t="s">
        <v>329</v>
      </c>
      <c r="Q333" s="155">
        <v>0.409</v>
      </c>
      <c r="R333" s="150">
        <f t="shared" si="60"/>
        <v>10.189</v>
      </c>
      <c r="S333" s="151">
        <v>6.25</v>
      </c>
      <c r="T333" s="157">
        <v>20</v>
      </c>
      <c r="U333" s="151">
        <f t="shared" si="56"/>
        <v>3.939</v>
      </c>
      <c r="V333" s="157">
        <v>0</v>
      </c>
      <c r="W333" s="150">
        <f>1.05*10</f>
        <v>10.5</v>
      </c>
      <c r="X333" s="151">
        <f t="shared" si="57"/>
        <v>6.561</v>
      </c>
      <c r="Y333" s="150">
        <f t="shared" si="59"/>
        <v>6.561</v>
      </c>
      <c r="Z333" s="152" t="s">
        <v>435</v>
      </c>
      <c r="AA333" s="24"/>
    </row>
    <row r="334" spans="1:26" s="24" customFormat="1" ht="15">
      <c r="A334" s="147">
        <v>91</v>
      </c>
      <c r="B334" s="148" t="s">
        <v>663</v>
      </c>
      <c r="C334" s="149" t="s">
        <v>324</v>
      </c>
      <c r="D334" s="150">
        <v>3.1</v>
      </c>
      <c r="E334" s="151">
        <v>0.21</v>
      </c>
      <c r="F334" s="147">
        <v>120</v>
      </c>
      <c r="G334" s="151">
        <f t="shared" si="53"/>
        <v>2.89</v>
      </c>
      <c r="H334" s="147">
        <v>0</v>
      </c>
      <c r="I334" s="151">
        <f>1.05*6.3</f>
        <v>6.615</v>
      </c>
      <c r="J334" s="151">
        <f t="shared" si="55"/>
        <v>3.725</v>
      </c>
      <c r="K334" s="151">
        <f t="shared" si="58"/>
        <v>3.725</v>
      </c>
      <c r="L334" s="152" t="s">
        <v>435</v>
      </c>
      <c r="M334" s="131"/>
      <c r="N334" s="138">
        <v>93</v>
      </c>
      <c r="O334" s="188" t="s">
        <v>663</v>
      </c>
      <c r="P334" s="143" t="s">
        <v>324</v>
      </c>
      <c r="Q334" s="155">
        <f>0.083+0.015+0.005+0.026+0.03+0.11</f>
        <v>0.269</v>
      </c>
      <c r="R334" s="150">
        <f t="shared" si="60"/>
        <v>3.369</v>
      </c>
      <c r="S334" s="151">
        <v>0.21</v>
      </c>
      <c r="T334" s="157">
        <v>120</v>
      </c>
      <c r="U334" s="151">
        <f t="shared" si="56"/>
        <v>3.1590000000000003</v>
      </c>
      <c r="V334" s="157">
        <v>0</v>
      </c>
      <c r="W334" s="150">
        <f>1.05*6.3</f>
        <v>6.615</v>
      </c>
      <c r="X334" s="151">
        <f t="shared" si="57"/>
        <v>3.456</v>
      </c>
      <c r="Y334" s="150">
        <f t="shared" si="59"/>
        <v>3.456</v>
      </c>
      <c r="Z334" s="152" t="s">
        <v>435</v>
      </c>
    </row>
    <row r="335" spans="1:26" s="24" customFormat="1" ht="15">
      <c r="A335" s="147">
        <v>92</v>
      </c>
      <c r="B335" s="148" t="s">
        <v>664</v>
      </c>
      <c r="C335" s="149" t="s">
        <v>341</v>
      </c>
      <c r="D335" s="150">
        <v>2.19</v>
      </c>
      <c r="E335" s="151">
        <v>1.14</v>
      </c>
      <c r="F335" s="147">
        <v>80</v>
      </c>
      <c r="G335" s="151">
        <f t="shared" si="53"/>
        <v>1.05</v>
      </c>
      <c r="H335" s="147">
        <v>0</v>
      </c>
      <c r="I335" s="151">
        <f>1.05*3.2</f>
        <v>3.3600000000000003</v>
      </c>
      <c r="J335" s="151">
        <f t="shared" si="55"/>
        <v>2.3100000000000005</v>
      </c>
      <c r="K335" s="151">
        <f t="shared" si="58"/>
        <v>2.3100000000000005</v>
      </c>
      <c r="L335" s="152" t="s">
        <v>435</v>
      </c>
      <c r="M335" s="131"/>
      <c r="N335" s="138">
        <v>94</v>
      </c>
      <c r="O335" s="188" t="s">
        <v>664</v>
      </c>
      <c r="P335" s="143" t="s">
        <v>341</v>
      </c>
      <c r="Q335" s="155">
        <f>0.5+0.014+0.004</f>
        <v>0.518</v>
      </c>
      <c r="R335" s="150">
        <f t="shared" si="60"/>
        <v>2.708</v>
      </c>
      <c r="S335" s="151">
        <v>1.14</v>
      </c>
      <c r="T335" s="157">
        <v>80</v>
      </c>
      <c r="U335" s="151">
        <f t="shared" si="56"/>
        <v>1.5680000000000003</v>
      </c>
      <c r="V335" s="157">
        <v>0</v>
      </c>
      <c r="W335" s="150">
        <f>1.05*3.2</f>
        <v>3.3600000000000003</v>
      </c>
      <c r="X335" s="151">
        <f t="shared" si="57"/>
        <v>1.792</v>
      </c>
      <c r="Y335" s="150">
        <f t="shared" si="59"/>
        <v>1.792</v>
      </c>
      <c r="Z335" s="152" t="s">
        <v>435</v>
      </c>
    </row>
    <row r="336" spans="1:26" s="24" customFormat="1" ht="15">
      <c r="A336" s="147">
        <v>93</v>
      </c>
      <c r="B336" s="148" t="s">
        <v>665</v>
      </c>
      <c r="C336" s="149" t="s">
        <v>342</v>
      </c>
      <c r="D336" s="150">
        <v>4.35</v>
      </c>
      <c r="E336" s="151">
        <v>1.56</v>
      </c>
      <c r="F336" s="147">
        <v>80</v>
      </c>
      <c r="G336" s="151">
        <f t="shared" si="53"/>
        <v>2.7899999999999996</v>
      </c>
      <c r="H336" s="147">
        <v>0</v>
      </c>
      <c r="I336" s="151">
        <f>1.05*4</f>
        <v>4.2</v>
      </c>
      <c r="J336" s="151">
        <f t="shared" si="55"/>
        <v>1.4100000000000006</v>
      </c>
      <c r="K336" s="151">
        <f t="shared" si="58"/>
        <v>1.4100000000000006</v>
      </c>
      <c r="L336" s="152" t="s">
        <v>435</v>
      </c>
      <c r="M336" s="131"/>
      <c r="N336" s="138">
        <v>95</v>
      </c>
      <c r="O336" s="162" t="s">
        <v>665</v>
      </c>
      <c r="P336" s="163" t="s">
        <v>342</v>
      </c>
      <c r="Q336" s="164">
        <f>1.094+0.256+0.7</f>
        <v>2.05</v>
      </c>
      <c r="R336" s="165">
        <f t="shared" si="60"/>
        <v>6.3999999999999995</v>
      </c>
      <c r="S336" s="165">
        <v>1.56</v>
      </c>
      <c r="T336" s="166">
        <v>80</v>
      </c>
      <c r="U336" s="165">
        <f t="shared" si="56"/>
        <v>4.84</v>
      </c>
      <c r="V336" s="166">
        <v>0</v>
      </c>
      <c r="W336" s="165">
        <f>1.05*4</f>
        <v>4.2</v>
      </c>
      <c r="X336" s="165">
        <f t="shared" si="57"/>
        <v>-0.6399999999999997</v>
      </c>
      <c r="Y336" s="165">
        <f t="shared" si="59"/>
        <v>-0.6399999999999997</v>
      </c>
      <c r="Z336" s="179" t="s">
        <v>436</v>
      </c>
    </row>
    <row r="337" spans="1:26" s="24" customFormat="1" ht="15">
      <c r="A337" s="147">
        <v>94</v>
      </c>
      <c r="B337" s="148" t="s">
        <v>666</v>
      </c>
      <c r="C337" s="149" t="s">
        <v>337</v>
      </c>
      <c r="D337" s="150">
        <v>0.62</v>
      </c>
      <c r="E337" s="151">
        <v>0.24</v>
      </c>
      <c r="F337" s="147">
        <v>120</v>
      </c>
      <c r="G337" s="151">
        <f t="shared" si="53"/>
        <v>0.38</v>
      </c>
      <c r="H337" s="147">
        <v>0</v>
      </c>
      <c r="I337" s="151">
        <f>1.05*2.5</f>
        <v>2.625</v>
      </c>
      <c r="J337" s="151">
        <f t="shared" si="55"/>
        <v>2.245</v>
      </c>
      <c r="K337" s="151">
        <f t="shared" si="58"/>
        <v>2.245</v>
      </c>
      <c r="L337" s="152" t="s">
        <v>435</v>
      </c>
      <c r="M337" s="131"/>
      <c r="N337" s="138">
        <v>96</v>
      </c>
      <c r="O337" s="153" t="s">
        <v>666</v>
      </c>
      <c r="P337" s="154" t="s">
        <v>337</v>
      </c>
      <c r="Q337" s="155">
        <f>0.013+0.01</f>
        <v>0.023</v>
      </c>
      <c r="R337" s="150">
        <f t="shared" si="60"/>
        <v>0.643</v>
      </c>
      <c r="S337" s="151">
        <v>0.24</v>
      </c>
      <c r="T337" s="147">
        <v>120</v>
      </c>
      <c r="U337" s="151">
        <f t="shared" si="56"/>
        <v>0.403</v>
      </c>
      <c r="V337" s="147">
        <v>0</v>
      </c>
      <c r="W337" s="151">
        <f>1.05*2.5</f>
        <v>2.625</v>
      </c>
      <c r="X337" s="151">
        <f t="shared" si="57"/>
        <v>2.222</v>
      </c>
      <c r="Y337" s="151">
        <f t="shared" si="59"/>
        <v>2.222</v>
      </c>
      <c r="Z337" s="152" t="s">
        <v>435</v>
      </c>
    </row>
    <row r="338" spans="1:26" s="24" customFormat="1" ht="15">
      <c r="A338" s="147">
        <v>95</v>
      </c>
      <c r="B338" s="148" t="s">
        <v>667</v>
      </c>
      <c r="C338" s="149" t="s">
        <v>340</v>
      </c>
      <c r="D338" s="150">
        <v>1.5</v>
      </c>
      <c r="E338" s="151">
        <v>0.42</v>
      </c>
      <c r="F338" s="147">
        <v>120</v>
      </c>
      <c r="G338" s="151">
        <f t="shared" si="53"/>
        <v>1.08</v>
      </c>
      <c r="H338" s="147">
        <v>0</v>
      </c>
      <c r="I338" s="151">
        <f>1.05*1.8</f>
        <v>1.8900000000000001</v>
      </c>
      <c r="J338" s="151">
        <f t="shared" si="55"/>
        <v>0.81</v>
      </c>
      <c r="K338" s="151">
        <f t="shared" si="58"/>
        <v>0.81</v>
      </c>
      <c r="L338" s="152" t="s">
        <v>435</v>
      </c>
      <c r="M338" s="131"/>
      <c r="N338" s="138">
        <v>97</v>
      </c>
      <c r="O338" s="153" t="s">
        <v>667</v>
      </c>
      <c r="P338" s="154" t="s">
        <v>340</v>
      </c>
      <c r="Q338" s="155">
        <f>0.164+0.01+0.006+0.187</f>
        <v>0.367</v>
      </c>
      <c r="R338" s="150">
        <f t="shared" si="60"/>
        <v>1.867</v>
      </c>
      <c r="S338" s="151">
        <v>0.42</v>
      </c>
      <c r="T338" s="147">
        <v>120</v>
      </c>
      <c r="U338" s="151">
        <f t="shared" si="56"/>
        <v>1.447</v>
      </c>
      <c r="V338" s="147">
        <v>0</v>
      </c>
      <c r="W338" s="151">
        <f>1.05*1.8</f>
        <v>1.8900000000000001</v>
      </c>
      <c r="X338" s="151">
        <f t="shared" si="57"/>
        <v>0.44300000000000006</v>
      </c>
      <c r="Y338" s="151">
        <f t="shared" si="59"/>
        <v>0.44300000000000006</v>
      </c>
      <c r="Z338" s="152" t="s">
        <v>435</v>
      </c>
    </row>
    <row r="339" spans="1:26" s="24" customFormat="1" ht="15">
      <c r="A339" s="147">
        <v>96</v>
      </c>
      <c r="B339" s="148" t="s">
        <v>668</v>
      </c>
      <c r="C339" s="149" t="s">
        <v>325</v>
      </c>
      <c r="D339" s="150">
        <v>0.86</v>
      </c>
      <c r="E339" s="151">
        <v>0.6</v>
      </c>
      <c r="F339" s="147">
        <v>120</v>
      </c>
      <c r="G339" s="151">
        <f t="shared" si="53"/>
        <v>0.26</v>
      </c>
      <c r="H339" s="147">
        <v>0</v>
      </c>
      <c r="I339" s="151">
        <f>1.05*2.5</f>
        <v>2.625</v>
      </c>
      <c r="J339" s="151">
        <f t="shared" si="55"/>
        <v>2.365</v>
      </c>
      <c r="K339" s="151">
        <f t="shared" si="58"/>
        <v>2.365</v>
      </c>
      <c r="L339" s="152" t="s">
        <v>435</v>
      </c>
      <c r="M339" s="131"/>
      <c r="N339" s="138">
        <v>98</v>
      </c>
      <c r="O339" s="153" t="s">
        <v>668</v>
      </c>
      <c r="P339" s="154" t="s">
        <v>325</v>
      </c>
      <c r="Q339" s="155">
        <f>0.967+0.006+0.008</f>
        <v>0.981</v>
      </c>
      <c r="R339" s="150">
        <f t="shared" si="60"/>
        <v>1.841</v>
      </c>
      <c r="S339" s="151">
        <v>0.6</v>
      </c>
      <c r="T339" s="147">
        <v>120</v>
      </c>
      <c r="U339" s="151">
        <f t="shared" si="56"/>
        <v>1.241</v>
      </c>
      <c r="V339" s="147">
        <v>0</v>
      </c>
      <c r="W339" s="151">
        <f>1.05*2.5</f>
        <v>2.625</v>
      </c>
      <c r="X339" s="151">
        <f t="shared" si="57"/>
        <v>1.384</v>
      </c>
      <c r="Y339" s="151">
        <f t="shared" si="59"/>
        <v>1.384</v>
      </c>
      <c r="Z339" s="152" t="s">
        <v>435</v>
      </c>
    </row>
    <row r="340" spans="1:26" s="24" customFormat="1" ht="15">
      <c r="A340" s="147">
        <v>97</v>
      </c>
      <c r="B340" s="148" t="s">
        <v>669</v>
      </c>
      <c r="C340" s="149" t="s">
        <v>325</v>
      </c>
      <c r="D340" s="168">
        <v>0.14</v>
      </c>
      <c r="E340" s="151">
        <v>0.17</v>
      </c>
      <c r="F340" s="147">
        <v>120</v>
      </c>
      <c r="G340" s="151">
        <f t="shared" si="53"/>
        <v>-0.03</v>
      </c>
      <c r="H340" s="147">
        <v>0</v>
      </c>
      <c r="I340" s="151">
        <f>1.05*2.5</f>
        <v>2.625</v>
      </c>
      <c r="J340" s="151">
        <f t="shared" si="55"/>
        <v>2.655</v>
      </c>
      <c r="K340" s="151">
        <f t="shared" si="58"/>
        <v>2.655</v>
      </c>
      <c r="L340" s="152" t="s">
        <v>435</v>
      </c>
      <c r="M340" s="131"/>
      <c r="N340" s="138">
        <v>99</v>
      </c>
      <c r="O340" s="153" t="s">
        <v>669</v>
      </c>
      <c r="P340" s="154" t="s">
        <v>325</v>
      </c>
      <c r="Q340" s="155">
        <v>0.008</v>
      </c>
      <c r="R340" s="150">
        <f t="shared" si="60"/>
        <v>0.14800000000000002</v>
      </c>
      <c r="S340" s="151">
        <v>0.17</v>
      </c>
      <c r="T340" s="147">
        <v>120</v>
      </c>
      <c r="U340" s="151">
        <f t="shared" si="56"/>
        <v>-0.021999999999999992</v>
      </c>
      <c r="V340" s="147">
        <v>0</v>
      </c>
      <c r="W340" s="151">
        <f>1.05*2.5</f>
        <v>2.625</v>
      </c>
      <c r="X340" s="151">
        <f t="shared" si="57"/>
        <v>2.647</v>
      </c>
      <c r="Y340" s="151">
        <f t="shared" si="59"/>
        <v>2.647</v>
      </c>
      <c r="Z340" s="152" t="s">
        <v>435</v>
      </c>
    </row>
    <row r="341" spans="1:26" s="24" customFormat="1" ht="15">
      <c r="A341" s="147">
        <v>98</v>
      </c>
      <c r="B341" s="148" t="s">
        <v>670</v>
      </c>
      <c r="C341" s="149" t="s">
        <v>329</v>
      </c>
      <c r="D341" s="150">
        <v>4.52</v>
      </c>
      <c r="E341" s="151">
        <v>4.5</v>
      </c>
      <c r="F341" s="147">
        <v>80</v>
      </c>
      <c r="G341" s="151">
        <f t="shared" si="53"/>
        <v>0.019999999999999574</v>
      </c>
      <c r="H341" s="147">
        <v>0</v>
      </c>
      <c r="I341" s="151">
        <f>1.05*10</f>
        <v>10.5</v>
      </c>
      <c r="J341" s="151">
        <f t="shared" si="55"/>
        <v>10.48</v>
      </c>
      <c r="K341" s="151">
        <f t="shared" si="58"/>
        <v>10.48</v>
      </c>
      <c r="L341" s="152" t="s">
        <v>435</v>
      </c>
      <c r="M341" s="131"/>
      <c r="N341" s="138">
        <v>100</v>
      </c>
      <c r="O341" s="153" t="s">
        <v>670</v>
      </c>
      <c r="P341" s="154" t="s">
        <v>329</v>
      </c>
      <c r="Q341" s="155">
        <v>0.005</v>
      </c>
      <c r="R341" s="150">
        <f t="shared" si="60"/>
        <v>4.5249999999999995</v>
      </c>
      <c r="S341" s="151">
        <v>4.5</v>
      </c>
      <c r="T341" s="147">
        <v>80</v>
      </c>
      <c r="U341" s="151">
        <f t="shared" si="56"/>
        <v>0.024999999999999467</v>
      </c>
      <c r="V341" s="147">
        <v>0</v>
      </c>
      <c r="W341" s="151">
        <f>1.05*10</f>
        <v>10.5</v>
      </c>
      <c r="X341" s="151">
        <f t="shared" si="57"/>
        <v>10.475000000000001</v>
      </c>
      <c r="Y341" s="151">
        <f t="shared" si="59"/>
        <v>10.475000000000001</v>
      </c>
      <c r="Z341" s="152" t="s">
        <v>435</v>
      </c>
    </row>
    <row r="342" spans="1:26" s="24" customFormat="1" ht="15">
      <c r="A342" s="147">
        <v>99</v>
      </c>
      <c r="B342" s="148" t="s">
        <v>671</v>
      </c>
      <c r="C342" s="149" t="s">
        <v>325</v>
      </c>
      <c r="D342" s="168">
        <v>0.08</v>
      </c>
      <c r="E342" s="151">
        <v>0.05</v>
      </c>
      <c r="F342" s="147">
        <v>120</v>
      </c>
      <c r="G342" s="151">
        <f t="shared" si="53"/>
        <v>0.03</v>
      </c>
      <c r="H342" s="147">
        <v>0</v>
      </c>
      <c r="I342" s="151">
        <f>1.05*2.5</f>
        <v>2.625</v>
      </c>
      <c r="J342" s="151">
        <f t="shared" si="55"/>
        <v>2.595</v>
      </c>
      <c r="K342" s="151">
        <f t="shared" si="58"/>
        <v>2.595</v>
      </c>
      <c r="L342" s="152" t="s">
        <v>435</v>
      </c>
      <c r="M342" s="131"/>
      <c r="N342" s="138">
        <v>101</v>
      </c>
      <c r="O342" s="153" t="s">
        <v>671</v>
      </c>
      <c r="P342" s="154" t="s">
        <v>325</v>
      </c>
      <c r="Q342" s="155">
        <v>0.009</v>
      </c>
      <c r="R342" s="150">
        <f t="shared" si="60"/>
        <v>0.089</v>
      </c>
      <c r="S342" s="151">
        <v>0.05</v>
      </c>
      <c r="T342" s="147">
        <v>120</v>
      </c>
      <c r="U342" s="151">
        <f t="shared" si="56"/>
        <v>0.03899999999999999</v>
      </c>
      <c r="V342" s="147">
        <v>0</v>
      </c>
      <c r="W342" s="151">
        <f>1.05*2.5</f>
        <v>2.625</v>
      </c>
      <c r="X342" s="151">
        <f t="shared" si="57"/>
        <v>2.586</v>
      </c>
      <c r="Y342" s="151">
        <f t="shared" si="59"/>
        <v>2.586</v>
      </c>
      <c r="Z342" s="152" t="s">
        <v>435</v>
      </c>
    </row>
    <row r="343" spans="1:26" s="24" customFormat="1" ht="15">
      <c r="A343" s="147">
        <v>100</v>
      </c>
      <c r="B343" s="148" t="s">
        <v>672</v>
      </c>
      <c r="C343" s="149" t="s">
        <v>325</v>
      </c>
      <c r="D343" s="168">
        <v>0.23</v>
      </c>
      <c r="E343" s="151">
        <v>0.25</v>
      </c>
      <c r="F343" s="147">
        <v>120</v>
      </c>
      <c r="G343" s="151">
        <f t="shared" si="53"/>
        <v>-0.01999999999999999</v>
      </c>
      <c r="H343" s="147">
        <v>0</v>
      </c>
      <c r="I343" s="151">
        <f>1.05*2.5</f>
        <v>2.625</v>
      </c>
      <c r="J343" s="151">
        <f t="shared" si="55"/>
        <v>2.645</v>
      </c>
      <c r="K343" s="151">
        <f t="shared" si="58"/>
        <v>2.645</v>
      </c>
      <c r="L343" s="152" t="s">
        <v>435</v>
      </c>
      <c r="M343" s="131"/>
      <c r="N343" s="138">
        <v>102</v>
      </c>
      <c r="O343" s="153" t="s">
        <v>672</v>
      </c>
      <c r="P343" s="154" t="s">
        <v>325</v>
      </c>
      <c r="Q343" s="155">
        <f>1.11+0.011+0.008</f>
        <v>1.129</v>
      </c>
      <c r="R343" s="150">
        <f t="shared" si="60"/>
        <v>1.359</v>
      </c>
      <c r="S343" s="151">
        <v>0.25</v>
      </c>
      <c r="T343" s="147">
        <v>120</v>
      </c>
      <c r="U343" s="151">
        <f t="shared" si="56"/>
        <v>1.109</v>
      </c>
      <c r="V343" s="147">
        <v>0</v>
      </c>
      <c r="W343" s="151">
        <f>1.05*2.5</f>
        <v>2.625</v>
      </c>
      <c r="X343" s="151">
        <f t="shared" si="57"/>
        <v>1.516</v>
      </c>
      <c r="Y343" s="151">
        <f t="shared" si="59"/>
        <v>1.516</v>
      </c>
      <c r="Z343" s="152" t="s">
        <v>435</v>
      </c>
    </row>
    <row r="344" spans="1:26" s="24" customFormat="1" ht="15">
      <c r="A344" s="147">
        <v>101</v>
      </c>
      <c r="B344" s="148" t="s">
        <v>673</v>
      </c>
      <c r="C344" s="149" t="s">
        <v>324</v>
      </c>
      <c r="D344" s="150">
        <v>3.03</v>
      </c>
      <c r="E344" s="151">
        <v>0.23</v>
      </c>
      <c r="F344" s="147">
        <v>120</v>
      </c>
      <c r="G344" s="151">
        <f t="shared" si="53"/>
        <v>2.8</v>
      </c>
      <c r="H344" s="147">
        <v>0</v>
      </c>
      <c r="I344" s="151">
        <f>1.05*6.3</f>
        <v>6.615</v>
      </c>
      <c r="J344" s="151">
        <f t="shared" si="55"/>
        <v>3.8150000000000004</v>
      </c>
      <c r="K344" s="151">
        <f t="shared" si="58"/>
        <v>3.8150000000000004</v>
      </c>
      <c r="L344" s="152" t="s">
        <v>435</v>
      </c>
      <c r="M344" s="131"/>
      <c r="N344" s="138">
        <v>103</v>
      </c>
      <c r="O344" s="153" t="s">
        <v>673</v>
      </c>
      <c r="P344" s="154" t="s">
        <v>324</v>
      </c>
      <c r="Q344" s="155">
        <v>0.9645</v>
      </c>
      <c r="R344" s="150">
        <f t="shared" si="60"/>
        <v>3.9945</v>
      </c>
      <c r="S344" s="151">
        <v>0.23</v>
      </c>
      <c r="T344" s="147">
        <v>120</v>
      </c>
      <c r="U344" s="151">
        <f t="shared" si="56"/>
        <v>3.7645</v>
      </c>
      <c r="V344" s="147">
        <v>0</v>
      </c>
      <c r="W344" s="151">
        <f>1.05*6.3</f>
        <v>6.615</v>
      </c>
      <c r="X344" s="151">
        <f t="shared" si="57"/>
        <v>2.8505000000000003</v>
      </c>
      <c r="Y344" s="151">
        <f t="shared" si="59"/>
        <v>2.8505000000000003</v>
      </c>
      <c r="Z344" s="152" t="s">
        <v>435</v>
      </c>
    </row>
    <row r="345" spans="1:26" s="24" customFormat="1" ht="15">
      <c r="A345" s="147">
        <v>102</v>
      </c>
      <c r="B345" s="148" t="s">
        <v>674</v>
      </c>
      <c r="C345" s="149" t="s">
        <v>335</v>
      </c>
      <c r="D345" s="150">
        <v>0.75</v>
      </c>
      <c r="E345" s="151">
        <v>1.59</v>
      </c>
      <c r="F345" s="147">
        <v>80</v>
      </c>
      <c r="G345" s="151">
        <f t="shared" si="53"/>
        <v>-0.8400000000000001</v>
      </c>
      <c r="H345" s="147">
        <v>0</v>
      </c>
      <c r="I345" s="151">
        <f>1.05*4</f>
        <v>4.2</v>
      </c>
      <c r="J345" s="151">
        <f t="shared" si="55"/>
        <v>5.04</v>
      </c>
      <c r="K345" s="151">
        <f t="shared" si="58"/>
        <v>5.04</v>
      </c>
      <c r="L345" s="152" t="s">
        <v>435</v>
      </c>
      <c r="M345" s="131"/>
      <c r="N345" s="138">
        <v>104</v>
      </c>
      <c r="O345" s="153" t="s">
        <v>674</v>
      </c>
      <c r="P345" s="154" t="s">
        <v>335</v>
      </c>
      <c r="Q345" s="155">
        <f>0.029+0.01+0.015+0.002+0.01+0.015+0.02</f>
        <v>0.101</v>
      </c>
      <c r="R345" s="150">
        <f t="shared" si="60"/>
        <v>0.851</v>
      </c>
      <c r="S345" s="151">
        <v>1.59</v>
      </c>
      <c r="T345" s="147">
        <v>80</v>
      </c>
      <c r="U345" s="151">
        <f t="shared" si="56"/>
        <v>-0.7390000000000001</v>
      </c>
      <c r="V345" s="147">
        <v>0</v>
      </c>
      <c r="W345" s="151">
        <f>1.05*4</f>
        <v>4.2</v>
      </c>
      <c r="X345" s="151">
        <f t="shared" si="57"/>
        <v>4.939</v>
      </c>
      <c r="Y345" s="151">
        <f t="shared" si="59"/>
        <v>4.939</v>
      </c>
      <c r="Z345" s="152" t="s">
        <v>435</v>
      </c>
    </row>
    <row r="346" spans="1:26" s="24" customFormat="1" ht="15">
      <c r="A346" s="147">
        <v>103</v>
      </c>
      <c r="B346" s="148" t="s">
        <v>675</v>
      </c>
      <c r="C346" s="149" t="s">
        <v>325</v>
      </c>
      <c r="D346" s="150">
        <v>0.65</v>
      </c>
      <c r="E346" s="151">
        <v>0.08</v>
      </c>
      <c r="F346" s="147">
        <v>120</v>
      </c>
      <c r="G346" s="151">
        <f aca="true" t="shared" si="61" ref="G346:G395">D346-E346</f>
        <v>0.5700000000000001</v>
      </c>
      <c r="H346" s="147">
        <v>0</v>
      </c>
      <c r="I346" s="151">
        <f>1.05*2.5</f>
        <v>2.625</v>
      </c>
      <c r="J346" s="151">
        <f aca="true" t="shared" si="62" ref="J346:J395">I346-H346-G346</f>
        <v>2.0549999999999997</v>
      </c>
      <c r="K346" s="151">
        <f t="shared" si="58"/>
        <v>2.0549999999999997</v>
      </c>
      <c r="L346" s="152" t="s">
        <v>435</v>
      </c>
      <c r="M346" s="131"/>
      <c r="N346" s="138">
        <v>105</v>
      </c>
      <c r="O346" s="153" t="s">
        <v>675</v>
      </c>
      <c r="P346" s="154" t="s">
        <v>325</v>
      </c>
      <c r="Q346" s="155">
        <f>0.02+0.012</f>
        <v>0.032</v>
      </c>
      <c r="R346" s="150">
        <f aca="true" t="shared" si="63" ref="R346:R353">Q346+D346</f>
        <v>0.682</v>
      </c>
      <c r="S346" s="151">
        <v>0.08</v>
      </c>
      <c r="T346" s="147">
        <v>120</v>
      </c>
      <c r="U346" s="151">
        <f aca="true" t="shared" si="64" ref="U346:U395">R346-S346</f>
        <v>0.6020000000000001</v>
      </c>
      <c r="V346" s="147">
        <v>0</v>
      </c>
      <c r="W346" s="151">
        <f>1.05*2.5</f>
        <v>2.625</v>
      </c>
      <c r="X346" s="151">
        <f aca="true" t="shared" si="65" ref="X346:X395">W346-V346-U346</f>
        <v>2.0229999999999997</v>
      </c>
      <c r="Y346" s="151">
        <f t="shared" si="59"/>
        <v>2.0229999999999997</v>
      </c>
      <c r="Z346" s="152" t="s">
        <v>435</v>
      </c>
    </row>
    <row r="347" spans="1:26" s="24" customFormat="1" ht="15">
      <c r="A347" s="147">
        <v>104</v>
      </c>
      <c r="B347" s="148" t="s">
        <v>676</v>
      </c>
      <c r="C347" s="149" t="s">
        <v>325</v>
      </c>
      <c r="D347" s="150">
        <v>0.5</v>
      </c>
      <c r="E347" s="151">
        <v>0.3</v>
      </c>
      <c r="F347" s="147">
        <v>120</v>
      </c>
      <c r="G347" s="151">
        <f t="shared" si="61"/>
        <v>0.2</v>
      </c>
      <c r="H347" s="147">
        <v>0</v>
      </c>
      <c r="I347" s="151">
        <f>1.05*2.5</f>
        <v>2.625</v>
      </c>
      <c r="J347" s="151">
        <f t="shared" si="62"/>
        <v>2.425</v>
      </c>
      <c r="K347" s="151">
        <f t="shared" si="58"/>
        <v>2.425</v>
      </c>
      <c r="L347" s="152" t="s">
        <v>435</v>
      </c>
      <c r="M347" s="131"/>
      <c r="N347" s="138">
        <v>106</v>
      </c>
      <c r="O347" s="153" t="s">
        <v>676</v>
      </c>
      <c r="P347" s="154" t="s">
        <v>325</v>
      </c>
      <c r="Q347" s="155">
        <v>0.005</v>
      </c>
      <c r="R347" s="150">
        <f t="shared" si="63"/>
        <v>0.505</v>
      </c>
      <c r="S347" s="151">
        <v>0.3</v>
      </c>
      <c r="T347" s="147">
        <v>120</v>
      </c>
      <c r="U347" s="151">
        <f t="shared" si="64"/>
        <v>0.20500000000000002</v>
      </c>
      <c r="V347" s="147">
        <v>0</v>
      </c>
      <c r="W347" s="151">
        <f>1.05*2.5</f>
        <v>2.625</v>
      </c>
      <c r="X347" s="151">
        <f t="shared" si="65"/>
        <v>2.42</v>
      </c>
      <c r="Y347" s="151">
        <f t="shared" si="59"/>
        <v>2.42</v>
      </c>
      <c r="Z347" s="152" t="s">
        <v>435</v>
      </c>
    </row>
    <row r="348" spans="1:26" s="24" customFormat="1" ht="15">
      <c r="A348" s="147">
        <v>105</v>
      </c>
      <c r="B348" s="148" t="s">
        <v>677</v>
      </c>
      <c r="C348" s="149" t="s">
        <v>342</v>
      </c>
      <c r="D348" s="168">
        <v>1.5</v>
      </c>
      <c r="E348" s="151">
        <v>1.7</v>
      </c>
      <c r="F348" s="147">
        <v>80</v>
      </c>
      <c r="G348" s="151">
        <f t="shared" si="61"/>
        <v>-0.19999999999999996</v>
      </c>
      <c r="H348" s="147">
        <v>0</v>
      </c>
      <c r="I348" s="151">
        <f>1.05*4</f>
        <v>4.2</v>
      </c>
      <c r="J348" s="151">
        <f t="shared" si="62"/>
        <v>4.4</v>
      </c>
      <c r="K348" s="151">
        <f t="shared" si="58"/>
        <v>4.4</v>
      </c>
      <c r="L348" s="152" t="s">
        <v>435</v>
      </c>
      <c r="M348" s="131"/>
      <c r="N348" s="138">
        <v>107</v>
      </c>
      <c r="O348" s="153" t="s">
        <v>677</v>
      </c>
      <c r="P348" s="154" t="s">
        <v>342</v>
      </c>
      <c r="Q348" s="155">
        <f>0.18+0.012+0.052+0.016+0.0823+0.014+0.01+0.002</f>
        <v>0.3683</v>
      </c>
      <c r="R348" s="150">
        <f t="shared" si="63"/>
        <v>1.8683</v>
      </c>
      <c r="S348" s="151">
        <v>1.7</v>
      </c>
      <c r="T348" s="147">
        <v>80</v>
      </c>
      <c r="U348" s="151">
        <f t="shared" si="64"/>
        <v>0.16830000000000012</v>
      </c>
      <c r="V348" s="147">
        <v>0</v>
      </c>
      <c r="W348" s="151">
        <f>1.05*4</f>
        <v>4.2</v>
      </c>
      <c r="X348" s="151">
        <f t="shared" si="65"/>
        <v>4.0317</v>
      </c>
      <c r="Y348" s="151">
        <f t="shared" si="59"/>
        <v>4.0317</v>
      </c>
      <c r="Z348" s="152" t="s">
        <v>435</v>
      </c>
    </row>
    <row r="349" spans="1:26" s="24" customFormat="1" ht="15">
      <c r="A349" s="147">
        <v>106</v>
      </c>
      <c r="B349" s="148" t="s">
        <v>678</v>
      </c>
      <c r="C349" s="149" t="s">
        <v>335</v>
      </c>
      <c r="D349" s="150">
        <v>0.87</v>
      </c>
      <c r="E349" s="151">
        <v>0.3</v>
      </c>
      <c r="F349" s="147">
        <v>120</v>
      </c>
      <c r="G349" s="151">
        <f t="shared" si="61"/>
        <v>0.5700000000000001</v>
      </c>
      <c r="H349" s="147">
        <v>0</v>
      </c>
      <c r="I349" s="151">
        <f>1.05*4</f>
        <v>4.2</v>
      </c>
      <c r="J349" s="151">
        <f t="shared" si="62"/>
        <v>3.63</v>
      </c>
      <c r="K349" s="151">
        <f t="shared" si="58"/>
        <v>3.63</v>
      </c>
      <c r="L349" s="152" t="s">
        <v>435</v>
      </c>
      <c r="M349" s="131"/>
      <c r="N349" s="138">
        <v>108</v>
      </c>
      <c r="O349" s="153" t="s">
        <v>678</v>
      </c>
      <c r="P349" s="154" t="s">
        <v>335</v>
      </c>
      <c r="Q349" s="155">
        <f>0.2+0.03+0.022+0.03+0.045+0.019+0.06+0.02</f>
        <v>0.42600000000000005</v>
      </c>
      <c r="R349" s="150">
        <f t="shared" si="63"/>
        <v>1.296</v>
      </c>
      <c r="S349" s="151">
        <v>0.3</v>
      </c>
      <c r="T349" s="147">
        <v>120</v>
      </c>
      <c r="U349" s="151">
        <f t="shared" si="64"/>
        <v>0.996</v>
      </c>
      <c r="V349" s="147">
        <v>0</v>
      </c>
      <c r="W349" s="151">
        <f>1.05*4</f>
        <v>4.2</v>
      </c>
      <c r="X349" s="151">
        <f t="shared" si="65"/>
        <v>3.204</v>
      </c>
      <c r="Y349" s="151">
        <f t="shared" si="59"/>
        <v>3.204</v>
      </c>
      <c r="Z349" s="152" t="s">
        <v>435</v>
      </c>
    </row>
    <row r="350" spans="1:26" s="24" customFormat="1" ht="15">
      <c r="A350" s="147">
        <v>107</v>
      </c>
      <c r="B350" s="148" t="s">
        <v>679</v>
      </c>
      <c r="C350" s="149" t="s">
        <v>325</v>
      </c>
      <c r="D350" s="150">
        <v>0.51</v>
      </c>
      <c r="E350" s="151">
        <v>0.63</v>
      </c>
      <c r="F350" s="147">
        <v>120</v>
      </c>
      <c r="G350" s="151">
        <f t="shared" si="61"/>
        <v>-0.12</v>
      </c>
      <c r="H350" s="147">
        <v>0</v>
      </c>
      <c r="I350" s="151">
        <f>1.05*2.5</f>
        <v>2.625</v>
      </c>
      <c r="J350" s="151">
        <f t="shared" si="62"/>
        <v>2.745</v>
      </c>
      <c r="K350" s="151">
        <f t="shared" si="58"/>
        <v>2.745</v>
      </c>
      <c r="L350" s="152" t="s">
        <v>435</v>
      </c>
      <c r="M350" s="131"/>
      <c r="N350" s="138">
        <v>109</v>
      </c>
      <c r="O350" s="153" t="s">
        <v>679</v>
      </c>
      <c r="P350" s="154" t="s">
        <v>325</v>
      </c>
      <c r="Q350" s="155">
        <f>0.03+0.007+0.03+0.00132+0.005+0.007+0.005</f>
        <v>0.08532000000000002</v>
      </c>
      <c r="R350" s="150">
        <f t="shared" si="63"/>
        <v>0.5953200000000001</v>
      </c>
      <c r="S350" s="151">
        <v>0.63</v>
      </c>
      <c r="T350" s="147">
        <v>120</v>
      </c>
      <c r="U350" s="151">
        <f t="shared" si="64"/>
        <v>-0.03467999999999993</v>
      </c>
      <c r="V350" s="147">
        <v>0</v>
      </c>
      <c r="W350" s="151">
        <f>1.05*2.5</f>
        <v>2.625</v>
      </c>
      <c r="X350" s="151">
        <f t="shared" si="65"/>
        <v>2.65968</v>
      </c>
      <c r="Y350" s="151">
        <f t="shared" si="59"/>
        <v>2.65968</v>
      </c>
      <c r="Z350" s="152" t="s">
        <v>435</v>
      </c>
    </row>
    <row r="351" spans="1:26" s="24" customFormat="1" ht="15">
      <c r="A351" s="147">
        <v>108</v>
      </c>
      <c r="B351" s="148" t="s">
        <v>680</v>
      </c>
      <c r="C351" s="149" t="s">
        <v>343</v>
      </c>
      <c r="D351" s="150">
        <v>0.42</v>
      </c>
      <c r="E351" s="151">
        <v>0.03</v>
      </c>
      <c r="F351" s="147">
        <v>80</v>
      </c>
      <c r="G351" s="151">
        <f t="shared" si="61"/>
        <v>0.39</v>
      </c>
      <c r="H351" s="147">
        <v>0</v>
      </c>
      <c r="I351" s="151">
        <f>1.05*1.6</f>
        <v>1.6800000000000002</v>
      </c>
      <c r="J351" s="151">
        <f t="shared" si="62"/>
        <v>1.29</v>
      </c>
      <c r="K351" s="151">
        <f t="shared" si="58"/>
        <v>1.29</v>
      </c>
      <c r="L351" s="152" t="s">
        <v>435</v>
      </c>
      <c r="M351" s="131"/>
      <c r="N351" s="138">
        <v>110</v>
      </c>
      <c r="O351" s="153" t="s">
        <v>680</v>
      </c>
      <c r="P351" s="154" t="s">
        <v>343</v>
      </c>
      <c r="Q351" s="155">
        <v>0.007</v>
      </c>
      <c r="R351" s="150">
        <f t="shared" si="63"/>
        <v>0.427</v>
      </c>
      <c r="S351" s="151">
        <v>0.03</v>
      </c>
      <c r="T351" s="147">
        <v>80</v>
      </c>
      <c r="U351" s="151">
        <f t="shared" si="64"/>
        <v>0.397</v>
      </c>
      <c r="V351" s="147">
        <v>0</v>
      </c>
      <c r="W351" s="151">
        <f>1.05*1.6</f>
        <v>1.6800000000000002</v>
      </c>
      <c r="X351" s="151">
        <f t="shared" si="65"/>
        <v>1.2830000000000001</v>
      </c>
      <c r="Y351" s="151">
        <f t="shared" si="59"/>
        <v>1.2830000000000001</v>
      </c>
      <c r="Z351" s="152" t="s">
        <v>435</v>
      </c>
    </row>
    <row r="352" spans="1:26" s="24" customFormat="1" ht="15">
      <c r="A352" s="147">
        <v>109</v>
      </c>
      <c r="B352" s="148" t="s">
        <v>681</v>
      </c>
      <c r="C352" s="149" t="s">
        <v>325</v>
      </c>
      <c r="D352" s="150">
        <v>1.2</v>
      </c>
      <c r="E352" s="151">
        <v>0.4</v>
      </c>
      <c r="F352" s="147">
        <v>120</v>
      </c>
      <c r="G352" s="151">
        <f t="shared" si="61"/>
        <v>0.7999999999999999</v>
      </c>
      <c r="H352" s="147">
        <v>0</v>
      </c>
      <c r="I352" s="151">
        <f>1.05*2.5</f>
        <v>2.625</v>
      </c>
      <c r="J352" s="151">
        <f t="shared" si="62"/>
        <v>1.8250000000000002</v>
      </c>
      <c r="K352" s="151">
        <f t="shared" si="58"/>
        <v>1.8250000000000002</v>
      </c>
      <c r="L352" s="152" t="s">
        <v>435</v>
      </c>
      <c r="M352" s="131"/>
      <c r="N352" s="138">
        <v>111</v>
      </c>
      <c r="O352" s="153" t="s">
        <v>681</v>
      </c>
      <c r="P352" s="154" t="s">
        <v>325</v>
      </c>
      <c r="Q352" s="155">
        <f>0.262+0.005+0.01+0.006+0.04+0.03+0.02+0.007</f>
        <v>0.38</v>
      </c>
      <c r="R352" s="150">
        <f t="shared" si="63"/>
        <v>1.58</v>
      </c>
      <c r="S352" s="151">
        <v>0.4</v>
      </c>
      <c r="T352" s="147">
        <v>120</v>
      </c>
      <c r="U352" s="151">
        <f t="shared" si="64"/>
        <v>1.1800000000000002</v>
      </c>
      <c r="V352" s="147">
        <v>0</v>
      </c>
      <c r="W352" s="151">
        <f>1.05*2.5</f>
        <v>2.625</v>
      </c>
      <c r="X352" s="151">
        <f t="shared" si="65"/>
        <v>1.4449999999999998</v>
      </c>
      <c r="Y352" s="151">
        <f t="shared" si="59"/>
        <v>1.4449999999999998</v>
      </c>
      <c r="Z352" s="152" t="s">
        <v>435</v>
      </c>
    </row>
    <row r="353" spans="1:26" s="24" customFormat="1" ht="15">
      <c r="A353" s="147">
        <v>110</v>
      </c>
      <c r="B353" s="148" t="s">
        <v>682</v>
      </c>
      <c r="C353" s="149" t="s">
        <v>325</v>
      </c>
      <c r="D353" s="150">
        <v>0.56</v>
      </c>
      <c r="E353" s="151">
        <v>0.19</v>
      </c>
      <c r="F353" s="147">
        <v>120</v>
      </c>
      <c r="G353" s="151">
        <f t="shared" si="61"/>
        <v>0.37000000000000005</v>
      </c>
      <c r="H353" s="147">
        <v>0</v>
      </c>
      <c r="I353" s="151">
        <f>1.05*2.5</f>
        <v>2.625</v>
      </c>
      <c r="J353" s="151">
        <f t="shared" si="62"/>
        <v>2.255</v>
      </c>
      <c r="K353" s="151">
        <f t="shared" si="58"/>
        <v>2.255</v>
      </c>
      <c r="L353" s="152" t="s">
        <v>435</v>
      </c>
      <c r="M353" s="131"/>
      <c r="N353" s="138">
        <v>112</v>
      </c>
      <c r="O353" s="153" t="s">
        <v>682</v>
      </c>
      <c r="P353" s="154" t="s">
        <v>325</v>
      </c>
      <c r="Q353" s="155">
        <f>0.051+0.008+0.024</f>
        <v>0.08299999999999999</v>
      </c>
      <c r="R353" s="150">
        <f t="shared" si="63"/>
        <v>0.643</v>
      </c>
      <c r="S353" s="151">
        <v>0.19</v>
      </c>
      <c r="T353" s="147">
        <v>120</v>
      </c>
      <c r="U353" s="151">
        <f t="shared" si="64"/>
        <v>0.453</v>
      </c>
      <c r="V353" s="147">
        <v>0</v>
      </c>
      <c r="W353" s="151">
        <f>1.05*2.5</f>
        <v>2.625</v>
      </c>
      <c r="X353" s="151">
        <f t="shared" si="65"/>
        <v>2.172</v>
      </c>
      <c r="Y353" s="151">
        <f t="shared" si="59"/>
        <v>2.172</v>
      </c>
      <c r="Z353" s="152" t="s">
        <v>435</v>
      </c>
    </row>
    <row r="354" spans="1:26" s="24" customFormat="1" ht="15">
      <c r="A354" s="147">
        <v>111</v>
      </c>
      <c r="B354" s="158" t="s">
        <v>683</v>
      </c>
      <c r="C354" s="149" t="s">
        <v>325</v>
      </c>
      <c r="D354" s="150">
        <v>0.17</v>
      </c>
      <c r="E354" s="150">
        <v>0.52</v>
      </c>
      <c r="F354" s="157">
        <v>120</v>
      </c>
      <c r="G354" s="150">
        <f t="shared" si="61"/>
        <v>-0.35</v>
      </c>
      <c r="H354" s="157">
        <v>0</v>
      </c>
      <c r="I354" s="150">
        <f>1.05*2.5</f>
        <v>2.625</v>
      </c>
      <c r="J354" s="150">
        <f>I354-H354-G354</f>
        <v>2.975</v>
      </c>
      <c r="K354" s="150">
        <f>J354</f>
        <v>2.975</v>
      </c>
      <c r="L354" s="152" t="s">
        <v>435</v>
      </c>
      <c r="M354" s="169"/>
      <c r="N354" s="138">
        <v>113</v>
      </c>
      <c r="O354" s="188" t="s">
        <v>683</v>
      </c>
      <c r="P354" s="143" t="s">
        <v>325</v>
      </c>
      <c r="Q354" s="155">
        <v>2.574</v>
      </c>
      <c r="R354" s="150">
        <v>2.744</v>
      </c>
      <c r="S354" s="150">
        <v>0.52</v>
      </c>
      <c r="T354" s="157">
        <v>120</v>
      </c>
      <c r="U354" s="150">
        <f t="shared" si="64"/>
        <v>2.224</v>
      </c>
      <c r="V354" s="157">
        <v>0</v>
      </c>
      <c r="W354" s="150">
        <f>1.05*2.5</f>
        <v>2.625</v>
      </c>
      <c r="X354" s="150">
        <f t="shared" si="65"/>
        <v>0.4009999999999998</v>
      </c>
      <c r="Y354" s="150">
        <f t="shared" si="59"/>
        <v>0.4009999999999998</v>
      </c>
      <c r="Z354" s="152" t="s">
        <v>435</v>
      </c>
    </row>
    <row r="355" spans="1:26" s="24" customFormat="1" ht="15">
      <c r="A355" s="147">
        <v>112</v>
      </c>
      <c r="B355" s="148" t="s">
        <v>684</v>
      </c>
      <c r="C355" s="149" t="s">
        <v>325</v>
      </c>
      <c r="D355" s="168">
        <v>0.18</v>
      </c>
      <c r="E355" s="151">
        <v>0.2</v>
      </c>
      <c r="F355" s="147">
        <v>120</v>
      </c>
      <c r="G355" s="151">
        <f t="shared" si="61"/>
        <v>-0.020000000000000018</v>
      </c>
      <c r="H355" s="147">
        <v>0</v>
      </c>
      <c r="I355" s="151">
        <f>1.05*2.5</f>
        <v>2.625</v>
      </c>
      <c r="J355" s="151">
        <f t="shared" si="62"/>
        <v>2.645</v>
      </c>
      <c r="K355" s="151">
        <f t="shared" si="58"/>
        <v>2.645</v>
      </c>
      <c r="L355" s="152" t="s">
        <v>435</v>
      </c>
      <c r="M355" s="131"/>
      <c r="N355" s="138">
        <v>114</v>
      </c>
      <c r="O355" s="153" t="s">
        <v>684</v>
      </c>
      <c r="P355" s="154" t="s">
        <v>325</v>
      </c>
      <c r="Q355" s="155">
        <f>0.13+0.01</f>
        <v>0.14</v>
      </c>
      <c r="R355" s="150">
        <f aca="true" t="shared" si="66" ref="R355:R394">Q355+D355</f>
        <v>0.32</v>
      </c>
      <c r="S355" s="151">
        <v>0.2</v>
      </c>
      <c r="T355" s="147">
        <v>120</v>
      </c>
      <c r="U355" s="151">
        <f t="shared" si="64"/>
        <v>0.12</v>
      </c>
      <c r="V355" s="147">
        <v>0</v>
      </c>
      <c r="W355" s="151">
        <f>1.05*2.5</f>
        <v>2.625</v>
      </c>
      <c r="X355" s="151">
        <f t="shared" si="65"/>
        <v>2.505</v>
      </c>
      <c r="Y355" s="151">
        <f t="shared" si="59"/>
        <v>2.505</v>
      </c>
      <c r="Z355" s="152" t="s">
        <v>435</v>
      </c>
    </row>
    <row r="356" spans="1:26" s="24" customFormat="1" ht="15">
      <c r="A356" s="147">
        <v>113</v>
      </c>
      <c r="B356" s="148" t="s">
        <v>685</v>
      </c>
      <c r="C356" s="149" t="s">
        <v>342</v>
      </c>
      <c r="D356" s="150">
        <v>1.26</v>
      </c>
      <c r="E356" s="151">
        <v>0.74</v>
      </c>
      <c r="F356" s="147">
        <v>120</v>
      </c>
      <c r="G356" s="151">
        <f t="shared" si="61"/>
        <v>0.52</v>
      </c>
      <c r="H356" s="147">
        <v>0</v>
      </c>
      <c r="I356" s="151">
        <f>1.05*4</f>
        <v>4.2</v>
      </c>
      <c r="J356" s="151">
        <f t="shared" si="62"/>
        <v>3.68</v>
      </c>
      <c r="K356" s="151">
        <f t="shared" si="58"/>
        <v>3.68</v>
      </c>
      <c r="L356" s="152" t="s">
        <v>435</v>
      </c>
      <c r="M356" s="131"/>
      <c r="N356" s="138">
        <v>115</v>
      </c>
      <c r="O356" s="153" t="s">
        <v>685</v>
      </c>
      <c r="P356" s="154" t="s">
        <v>342</v>
      </c>
      <c r="Q356" s="155">
        <f>0.212+0.015+0.02+0.018+0.015</f>
        <v>0.27999999999999997</v>
      </c>
      <c r="R356" s="150">
        <f t="shared" si="66"/>
        <v>1.54</v>
      </c>
      <c r="S356" s="151">
        <v>0.74</v>
      </c>
      <c r="T356" s="147">
        <v>120</v>
      </c>
      <c r="U356" s="151">
        <f t="shared" si="64"/>
        <v>0.8</v>
      </c>
      <c r="V356" s="147">
        <v>0</v>
      </c>
      <c r="W356" s="151">
        <f>1.05*4</f>
        <v>4.2</v>
      </c>
      <c r="X356" s="151">
        <f t="shared" si="65"/>
        <v>3.4000000000000004</v>
      </c>
      <c r="Y356" s="151">
        <f t="shared" si="59"/>
        <v>3.4000000000000004</v>
      </c>
      <c r="Z356" s="152" t="s">
        <v>435</v>
      </c>
    </row>
    <row r="357" spans="1:26" s="24" customFormat="1" ht="15">
      <c r="A357" s="147">
        <v>114</v>
      </c>
      <c r="B357" s="148" t="s">
        <v>686</v>
      </c>
      <c r="C357" s="149" t="s">
        <v>325</v>
      </c>
      <c r="D357" s="150">
        <v>0.28</v>
      </c>
      <c r="E357" s="151">
        <v>0.11</v>
      </c>
      <c r="F357" s="147">
        <v>80</v>
      </c>
      <c r="G357" s="151">
        <f t="shared" si="61"/>
        <v>0.17000000000000004</v>
      </c>
      <c r="H357" s="147">
        <v>0</v>
      </c>
      <c r="I357" s="151">
        <f>1.05*2.5</f>
        <v>2.625</v>
      </c>
      <c r="J357" s="151">
        <f t="shared" si="62"/>
        <v>2.455</v>
      </c>
      <c r="K357" s="151">
        <f t="shared" si="58"/>
        <v>2.455</v>
      </c>
      <c r="L357" s="152" t="s">
        <v>435</v>
      </c>
      <c r="M357" s="131"/>
      <c r="N357" s="138">
        <v>116</v>
      </c>
      <c r="O357" s="153" t="s">
        <v>686</v>
      </c>
      <c r="P357" s="154" t="s">
        <v>325</v>
      </c>
      <c r="Q357" s="155">
        <f>0.02+0.021+0.006+0.003</f>
        <v>0.05</v>
      </c>
      <c r="R357" s="150">
        <f t="shared" si="66"/>
        <v>0.33</v>
      </c>
      <c r="S357" s="151">
        <v>0.11</v>
      </c>
      <c r="T357" s="147">
        <v>80</v>
      </c>
      <c r="U357" s="151">
        <f t="shared" si="64"/>
        <v>0.22000000000000003</v>
      </c>
      <c r="V357" s="147">
        <v>0</v>
      </c>
      <c r="W357" s="151">
        <f>1.05*2.5</f>
        <v>2.625</v>
      </c>
      <c r="X357" s="151">
        <f t="shared" si="65"/>
        <v>2.405</v>
      </c>
      <c r="Y357" s="151">
        <f t="shared" si="59"/>
        <v>2.405</v>
      </c>
      <c r="Z357" s="152" t="s">
        <v>435</v>
      </c>
    </row>
    <row r="358" spans="1:26" s="24" customFormat="1" ht="15.75" customHeight="1">
      <c r="A358" s="147">
        <v>115</v>
      </c>
      <c r="B358" s="148" t="s">
        <v>687</v>
      </c>
      <c r="C358" s="149" t="s">
        <v>344</v>
      </c>
      <c r="D358" s="168">
        <v>0.62</v>
      </c>
      <c r="E358" s="151">
        <v>0.52</v>
      </c>
      <c r="F358" s="147">
        <v>120</v>
      </c>
      <c r="G358" s="151">
        <f t="shared" si="61"/>
        <v>0.09999999999999998</v>
      </c>
      <c r="H358" s="147">
        <v>0</v>
      </c>
      <c r="I358" s="151">
        <f>1.05*2.5</f>
        <v>2.625</v>
      </c>
      <c r="J358" s="151">
        <f t="shared" si="62"/>
        <v>2.525</v>
      </c>
      <c r="K358" s="151">
        <f t="shared" si="58"/>
        <v>2.525</v>
      </c>
      <c r="L358" s="152" t="s">
        <v>435</v>
      </c>
      <c r="M358" s="131"/>
      <c r="N358" s="138">
        <v>117</v>
      </c>
      <c r="O358" s="153" t="s">
        <v>687</v>
      </c>
      <c r="P358" s="154" t="s">
        <v>344</v>
      </c>
      <c r="Q358" s="155">
        <f>0.068+0.009+0.008</f>
        <v>0.08499999999999999</v>
      </c>
      <c r="R358" s="150">
        <f t="shared" si="66"/>
        <v>0.705</v>
      </c>
      <c r="S358" s="151">
        <v>0.52</v>
      </c>
      <c r="T358" s="147">
        <v>120</v>
      </c>
      <c r="U358" s="151">
        <f t="shared" si="64"/>
        <v>0.18499999999999994</v>
      </c>
      <c r="V358" s="147">
        <v>0</v>
      </c>
      <c r="W358" s="151">
        <f>1.05*2.5</f>
        <v>2.625</v>
      </c>
      <c r="X358" s="151">
        <f t="shared" si="65"/>
        <v>2.44</v>
      </c>
      <c r="Y358" s="151">
        <f t="shared" si="59"/>
        <v>2.44</v>
      </c>
      <c r="Z358" s="152" t="s">
        <v>435</v>
      </c>
    </row>
    <row r="359" spans="1:26" s="24" customFormat="1" ht="15">
      <c r="A359" s="147">
        <v>116</v>
      </c>
      <c r="B359" s="148" t="s">
        <v>688</v>
      </c>
      <c r="C359" s="149" t="s">
        <v>337</v>
      </c>
      <c r="D359" s="150">
        <v>1.61</v>
      </c>
      <c r="E359" s="151">
        <v>0.3</v>
      </c>
      <c r="F359" s="147">
        <v>120</v>
      </c>
      <c r="G359" s="151">
        <f t="shared" si="61"/>
        <v>1.31</v>
      </c>
      <c r="H359" s="147">
        <v>0</v>
      </c>
      <c r="I359" s="151">
        <f>1.05*2.5</f>
        <v>2.625</v>
      </c>
      <c r="J359" s="151">
        <f t="shared" si="62"/>
        <v>1.315</v>
      </c>
      <c r="K359" s="151">
        <f t="shared" si="58"/>
        <v>1.315</v>
      </c>
      <c r="L359" s="152" t="s">
        <v>435</v>
      </c>
      <c r="M359" s="131"/>
      <c r="N359" s="138">
        <v>118</v>
      </c>
      <c r="O359" s="153" t="s">
        <v>688</v>
      </c>
      <c r="P359" s="154" t="s">
        <v>337</v>
      </c>
      <c r="Q359" s="155">
        <f>0.716+0.035+0.01+0.015</f>
        <v>0.776</v>
      </c>
      <c r="R359" s="150">
        <f t="shared" si="66"/>
        <v>2.386</v>
      </c>
      <c r="S359" s="151">
        <v>0.3</v>
      </c>
      <c r="T359" s="147">
        <v>120</v>
      </c>
      <c r="U359" s="151">
        <f t="shared" si="64"/>
        <v>2.0860000000000003</v>
      </c>
      <c r="V359" s="147">
        <v>0</v>
      </c>
      <c r="W359" s="151">
        <f>1.05*2.5</f>
        <v>2.625</v>
      </c>
      <c r="X359" s="151">
        <f t="shared" si="65"/>
        <v>0.5389999999999997</v>
      </c>
      <c r="Y359" s="151">
        <f t="shared" si="59"/>
        <v>0.5389999999999997</v>
      </c>
      <c r="Z359" s="152" t="s">
        <v>435</v>
      </c>
    </row>
    <row r="360" spans="1:26" s="24" customFormat="1" ht="15">
      <c r="A360" s="147">
        <v>117</v>
      </c>
      <c r="B360" s="148" t="s">
        <v>689</v>
      </c>
      <c r="C360" s="149" t="s">
        <v>325</v>
      </c>
      <c r="D360" s="150">
        <v>1.38</v>
      </c>
      <c r="E360" s="151">
        <v>0.26</v>
      </c>
      <c r="F360" s="147">
        <v>120</v>
      </c>
      <c r="G360" s="151">
        <f t="shared" si="61"/>
        <v>1.1199999999999999</v>
      </c>
      <c r="H360" s="147">
        <v>0</v>
      </c>
      <c r="I360" s="151">
        <f>1.05*2.5</f>
        <v>2.625</v>
      </c>
      <c r="J360" s="151">
        <f t="shared" si="62"/>
        <v>1.5050000000000001</v>
      </c>
      <c r="K360" s="151">
        <f t="shared" si="58"/>
        <v>1.5050000000000001</v>
      </c>
      <c r="L360" s="152" t="s">
        <v>435</v>
      </c>
      <c r="M360" s="131"/>
      <c r="N360" s="138">
        <v>119</v>
      </c>
      <c r="O360" s="153" t="s">
        <v>689</v>
      </c>
      <c r="P360" s="154" t="s">
        <v>325</v>
      </c>
      <c r="Q360" s="155">
        <f>0.014+0.026</f>
        <v>0.04</v>
      </c>
      <c r="R360" s="150">
        <f t="shared" si="66"/>
        <v>1.42</v>
      </c>
      <c r="S360" s="151">
        <v>0.26</v>
      </c>
      <c r="T360" s="147">
        <v>120</v>
      </c>
      <c r="U360" s="151">
        <f t="shared" si="64"/>
        <v>1.16</v>
      </c>
      <c r="V360" s="147">
        <v>0</v>
      </c>
      <c r="W360" s="151">
        <f>1.05*2.5</f>
        <v>2.625</v>
      </c>
      <c r="X360" s="151">
        <f t="shared" si="65"/>
        <v>1.465</v>
      </c>
      <c r="Y360" s="151">
        <f t="shared" si="59"/>
        <v>1.465</v>
      </c>
      <c r="Z360" s="152" t="s">
        <v>435</v>
      </c>
    </row>
    <row r="361" spans="1:26" s="24" customFormat="1" ht="15">
      <c r="A361" s="147">
        <v>118</v>
      </c>
      <c r="B361" s="148" t="s">
        <v>690</v>
      </c>
      <c r="C361" s="149" t="s">
        <v>339</v>
      </c>
      <c r="D361" s="150">
        <v>0.19</v>
      </c>
      <c r="E361" s="151">
        <v>0.46</v>
      </c>
      <c r="F361" s="147">
        <v>120</v>
      </c>
      <c r="G361" s="151">
        <f t="shared" si="61"/>
        <v>-0.27</v>
      </c>
      <c r="H361" s="147">
        <v>0</v>
      </c>
      <c r="I361" s="151">
        <f>1.05*1.6</f>
        <v>1.6800000000000002</v>
      </c>
      <c r="J361" s="151">
        <f t="shared" si="62"/>
        <v>1.9500000000000002</v>
      </c>
      <c r="K361" s="151">
        <f t="shared" si="58"/>
        <v>1.9500000000000002</v>
      </c>
      <c r="L361" s="152" t="s">
        <v>435</v>
      </c>
      <c r="M361" s="131"/>
      <c r="N361" s="138">
        <v>120</v>
      </c>
      <c r="O361" s="153" t="s">
        <v>690</v>
      </c>
      <c r="P361" s="154" t="s">
        <v>339</v>
      </c>
      <c r="Q361" s="155">
        <v>0.047</v>
      </c>
      <c r="R361" s="150">
        <f t="shared" si="66"/>
        <v>0.237</v>
      </c>
      <c r="S361" s="151">
        <v>0.46</v>
      </c>
      <c r="T361" s="147">
        <v>120</v>
      </c>
      <c r="U361" s="151">
        <f t="shared" si="64"/>
        <v>-0.22300000000000003</v>
      </c>
      <c r="V361" s="147">
        <v>0</v>
      </c>
      <c r="W361" s="151">
        <f>1.05*1.6</f>
        <v>1.6800000000000002</v>
      </c>
      <c r="X361" s="151">
        <f t="shared" si="65"/>
        <v>1.9030000000000002</v>
      </c>
      <c r="Y361" s="151">
        <f t="shared" si="59"/>
        <v>1.9030000000000002</v>
      </c>
      <c r="Z361" s="152" t="s">
        <v>435</v>
      </c>
    </row>
    <row r="362" spans="1:26" s="24" customFormat="1" ht="15">
      <c r="A362" s="147">
        <v>119</v>
      </c>
      <c r="B362" s="148" t="s">
        <v>691</v>
      </c>
      <c r="C362" s="149" t="s">
        <v>335</v>
      </c>
      <c r="D362" s="150">
        <v>0.5</v>
      </c>
      <c r="E362" s="151">
        <v>1.16</v>
      </c>
      <c r="F362" s="147">
        <v>120</v>
      </c>
      <c r="G362" s="151">
        <f t="shared" si="61"/>
        <v>-0.6599999999999999</v>
      </c>
      <c r="H362" s="147">
        <v>0</v>
      </c>
      <c r="I362" s="151">
        <f>1.05*4</f>
        <v>4.2</v>
      </c>
      <c r="J362" s="151">
        <f t="shared" si="62"/>
        <v>4.86</v>
      </c>
      <c r="K362" s="151">
        <f t="shared" si="58"/>
        <v>4.86</v>
      </c>
      <c r="L362" s="152" t="s">
        <v>435</v>
      </c>
      <c r="M362" s="131"/>
      <c r="N362" s="138">
        <v>121</v>
      </c>
      <c r="O362" s="153" t="s">
        <v>691</v>
      </c>
      <c r="P362" s="154" t="s">
        <v>335</v>
      </c>
      <c r="Q362" s="155">
        <f>0.008+0.012+0.017+0.024+0.012+0.028</f>
        <v>0.101</v>
      </c>
      <c r="R362" s="150">
        <f t="shared" si="66"/>
        <v>0.601</v>
      </c>
      <c r="S362" s="151">
        <v>1.16</v>
      </c>
      <c r="T362" s="147">
        <v>120</v>
      </c>
      <c r="U362" s="151">
        <f t="shared" si="64"/>
        <v>-0.5589999999999999</v>
      </c>
      <c r="V362" s="147">
        <v>0</v>
      </c>
      <c r="W362" s="151">
        <f>1.05*4</f>
        <v>4.2</v>
      </c>
      <c r="X362" s="151">
        <f t="shared" si="65"/>
        <v>4.759</v>
      </c>
      <c r="Y362" s="151">
        <f t="shared" si="59"/>
        <v>4.759</v>
      </c>
      <c r="Z362" s="152" t="s">
        <v>435</v>
      </c>
    </row>
    <row r="363" spans="1:26" s="24" customFormat="1" ht="15">
      <c r="A363" s="147">
        <v>120</v>
      </c>
      <c r="B363" s="148" t="s">
        <v>692</v>
      </c>
      <c r="C363" s="149" t="s">
        <v>324</v>
      </c>
      <c r="D363" s="168">
        <v>0.03</v>
      </c>
      <c r="E363" s="151">
        <v>0.08</v>
      </c>
      <c r="F363" s="147">
        <v>120</v>
      </c>
      <c r="G363" s="151">
        <f t="shared" si="61"/>
        <v>-0.05</v>
      </c>
      <c r="H363" s="147">
        <v>0</v>
      </c>
      <c r="I363" s="151">
        <f>1.05*6.3</f>
        <v>6.615</v>
      </c>
      <c r="J363" s="151">
        <f t="shared" si="62"/>
        <v>6.665</v>
      </c>
      <c r="K363" s="151">
        <f t="shared" si="58"/>
        <v>6.665</v>
      </c>
      <c r="L363" s="152" t="s">
        <v>435</v>
      </c>
      <c r="M363" s="131"/>
      <c r="N363" s="138">
        <v>122</v>
      </c>
      <c r="O363" s="153" t="s">
        <v>692</v>
      </c>
      <c r="P363" s="154" t="s">
        <v>324</v>
      </c>
      <c r="Q363" s="155"/>
      <c r="R363" s="150">
        <f t="shared" si="66"/>
        <v>0.03</v>
      </c>
      <c r="S363" s="151">
        <v>0.08</v>
      </c>
      <c r="T363" s="147">
        <v>120</v>
      </c>
      <c r="U363" s="151">
        <f t="shared" si="64"/>
        <v>-0.05</v>
      </c>
      <c r="V363" s="147">
        <v>0</v>
      </c>
      <c r="W363" s="151">
        <f>1.05*6.3</f>
        <v>6.615</v>
      </c>
      <c r="X363" s="151">
        <f t="shared" si="65"/>
        <v>6.665</v>
      </c>
      <c r="Y363" s="151">
        <f t="shared" si="59"/>
        <v>6.665</v>
      </c>
      <c r="Z363" s="152" t="s">
        <v>435</v>
      </c>
    </row>
    <row r="364" spans="1:26" s="24" customFormat="1" ht="15">
      <c r="A364" s="147">
        <v>121</v>
      </c>
      <c r="B364" s="148" t="s">
        <v>693</v>
      </c>
      <c r="C364" s="149" t="s">
        <v>325</v>
      </c>
      <c r="D364" s="150">
        <v>1.39</v>
      </c>
      <c r="E364" s="151">
        <v>0.3</v>
      </c>
      <c r="F364" s="147">
        <v>80</v>
      </c>
      <c r="G364" s="151">
        <f t="shared" si="61"/>
        <v>1.0899999999999999</v>
      </c>
      <c r="H364" s="147">
        <v>0</v>
      </c>
      <c r="I364" s="151">
        <f>1.05*2.5</f>
        <v>2.625</v>
      </c>
      <c r="J364" s="151">
        <f t="shared" si="62"/>
        <v>1.5350000000000001</v>
      </c>
      <c r="K364" s="151">
        <f t="shared" si="58"/>
        <v>1.5350000000000001</v>
      </c>
      <c r="L364" s="152" t="s">
        <v>435</v>
      </c>
      <c r="M364" s="131"/>
      <c r="N364" s="138">
        <v>123</v>
      </c>
      <c r="O364" s="153" t="s">
        <v>693</v>
      </c>
      <c r="P364" s="154" t="s">
        <v>325</v>
      </c>
      <c r="Q364" s="155">
        <f>0.284+0.015+0.015+0.025</f>
        <v>0.339</v>
      </c>
      <c r="R364" s="150">
        <f t="shared" si="66"/>
        <v>1.7289999999999999</v>
      </c>
      <c r="S364" s="151">
        <v>0.3</v>
      </c>
      <c r="T364" s="147">
        <v>80</v>
      </c>
      <c r="U364" s="151">
        <f t="shared" si="64"/>
        <v>1.4289999999999998</v>
      </c>
      <c r="V364" s="147">
        <v>0</v>
      </c>
      <c r="W364" s="151">
        <f>1.05*2.5</f>
        <v>2.625</v>
      </c>
      <c r="X364" s="151">
        <f t="shared" si="65"/>
        <v>1.1960000000000002</v>
      </c>
      <c r="Y364" s="151">
        <f t="shared" si="59"/>
        <v>1.1960000000000002</v>
      </c>
      <c r="Z364" s="152" t="s">
        <v>435</v>
      </c>
    </row>
    <row r="365" spans="1:26" s="24" customFormat="1" ht="15">
      <c r="A365" s="147">
        <v>122</v>
      </c>
      <c r="B365" s="148" t="s">
        <v>694</v>
      </c>
      <c r="C365" s="149" t="s">
        <v>339</v>
      </c>
      <c r="D365" s="150">
        <v>0.3</v>
      </c>
      <c r="E365" s="151">
        <v>0.24</v>
      </c>
      <c r="F365" s="147">
        <v>120</v>
      </c>
      <c r="G365" s="151">
        <f t="shared" si="61"/>
        <v>0.06</v>
      </c>
      <c r="H365" s="147">
        <v>0</v>
      </c>
      <c r="I365" s="151">
        <f>1.05*1.6</f>
        <v>1.6800000000000002</v>
      </c>
      <c r="J365" s="151">
        <f t="shared" si="62"/>
        <v>1.62</v>
      </c>
      <c r="K365" s="151">
        <f t="shared" si="58"/>
        <v>1.62</v>
      </c>
      <c r="L365" s="152" t="s">
        <v>435</v>
      </c>
      <c r="M365" s="131"/>
      <c r="N365" s="138">
        <v>124</v>
      </c>
      <c r="O365" s="153" t="s">
        <v>694</v>
      </c>
      <c r="P365" s="154" t="s">
        <v>339</v>
      </c>
      <c r="Q365" s="155"/>
      <c r="R365" s="150">
        <f t="shared" si="66"/>
        <v>0.3</v>
      </c>
      <c r="S365" s="151">
        <v>0.24</v>
      </c>
      <c r="T365" s="147">
        <v>120</v>
      </c>
      <c r="U365" s="151">
        <f t="shared" si="64"/>
        <v>0.06</v>
      </c>
      <c r="V365" s="147">
        <v>0</v>
      </c>
      <c r="W365" s="151">
        <f>1.05*1.6</f>
        <v>1.6800000000000002</v>
      </c>
      <c r="X365" s="151">
        <f t="shared" si="65"/>
        <v>1.62</v>
      </c>
      <c r="Y365" s="151">
        <f t="shared" si="59"/>
        <v>1.62</v>
      </c>
      <c r="Z365" s="152" t="s">
        <v>435</v>
      </c>
    </row>
    <row r="366" spans="1:26" s="24" customFormat="1" ht="15">
      <c r="A366" s="147">
        <v>123</v>
      </c>
      <c r="B366" s="148" t="s">
        <v>695</v>
      </c>
      <c r="C366" s="149" t="s">
        <v>345</v>
      </c>
      <c r="D366" s="150">
        <v>0.39</v>
      </c>
      <c r="E366" s="151">
        <v>0.43</v>
      </c>
      <c r="F366" s="147">
        <v>120</v>
      </c>
      <c r="G366" s="151">
        <f t="shared" si="61"/>
        <v>-0.03999999999999998</v>
      </c>
      <c r="H366" s="147">
        <v>0</v>
      </c>
      <c r="I366" s="151">
        <f>1.05*1.6</f>
        <v>1.6800000000000002</v>
      </c>
      <c r="J366" s="151">
        <f t="shared" si="62"/>
        <v>1.7200000000000002</v>
      </c>
      <c r="K366" s="151">
        <f t="shared" si="58"/>
        <v>1.7200000000000002</v>
      </c>
      <c r="L366" s="152" t="s">
        <v>435</v>
      </c>
      <c r="M366" s="131"/>
      <c r="N366" s="138">
        <v>125</v>
      </c>
      <c r="O366" s="153" t="s">
        <v>695</v>
      </c>
      <c r="P366" s="154" t="s">
        <v>345</v>
      </c>
      <c r="Q366" s="155">
        <f>0.05+0.018+0.013+0.008+0.014</f>
        <v>0.103</v>
      </c>
      <c r="R366" s="150">
        <f t="shared" si="66"/>
        <v>0.493</v>
      </c>
      <c r="S366" s="151">
        <v>0.43</v>
      </c>
      <c r="T366" s="147">
        <v>120</v>
      </c>
      <c r="U366" s="151">
        <f t="shared" si="64"/>
        <v>0.063</v>
      </c>
      <c r="V366" s="147">
        <v>0</v>
      </c>
      <c r="W366" s="151">
        <f>1.05*1.6</f>
        <v>1.6800000000000002</v>
      </c>
      <c r="X366" s="151">
        <f t="shared" si="65"/>
        <v>1.6170000000000002</v>
      </c>
      <c r="Y366" s="151">
        <f t="shared" si="59"/>
        <v>1.6170000000000002</v>
      </c>
      <c r="Z366" s="152" t="s">
        <v>435</v>
      </c>
    </row>
    <row r="367" spans="1:26" s="24" customFormat="1" ht="15">
      <c r="A367" s="147">
        <v>124</v>
      </c>
      <c r="B367" s="148" t="s">
        <v>696</v>
      </c>
      <c r="C367" s="149" t="s">
        <v>325</v>
      </c>
      <c r="D367" s="150">
        <v>0.77</v>
      </c>
      <c r="E367" s="151">
        <v>0.32</v>
      </c>
      <c r="F367" s="147">
        <v>120</v>
      </c>
      <c r="G367" s="151">
        <f t="shared" si="61"/>
        <v>0.45</v>
      </c>
      <c r="H367" s="147">
        <v>0</v>
      </c>
      <c r="I367" s="151">
        <f>1.05*2.5</f>
        <v>2.625</v>
      </c>
      <c r="J367" s="151">
        <f t="shared" si="62"/>
        <v>2.175</v>
      </c>
      <c r="K367" s="151">
        <f t="shared" si="58"/>
        <v>2.175</v>
      </c>
      <c r="L367" s="152" t="s">
        <v>435</v>
      </c>
      <c r="M367" s="131"/>
      <c r="N367" s="138">
        <v>126</v>
      </c>
      <c r="O367" s="153" t="s">
        <v>696</v>
      </c>
      <c r="P367" s="154" t="s">
        <v>325</v>
      </c>
      <c r="Q367" s="155">
        <f>0.195+0.008+0.016+0.013</f>
        <v>0.23200000000000004</v>
      </c>
      <c r="R367" s="150">
        <f t="shared" si="66"/>
        <v>1.002</v>
      </c>
      <c r="S367" s="151">
        <v>0.32</v>
      </c>
      <c r="T367" s="147">
        <v>120</v>
      </c>
      <c r="U367" s="151">
        <f t="shared" si="64"/>
        <v>0.6819999999999999</v>
      </c>
      <c r="V367" s="147">
        <v>0</v>
      </c>
      <c r="W367" s="151">
        <f>1.05*2.5</f>
        <v>2.625</v>
      </c>
      <c r="X367" s="151">
        <f t="shared" si="65"/>
        <v>1.943</v>
      </c>
      <c r="Y367" s="151">
        <f t="shared" si="59"/>
        <v>1.943</v>
      </c>
      <c r="Z367" s="152" t="s">
        <v>435</v>
      </c>
    </row>
    <row r="368" spans="1:26" s="24" customFormat="1" ht="15">
      <c r="A368" s="147">
        <v>125</v>
      </c>
      <c r="B368" s="148" t="s">
        <v>697</v>
      </c>
      <c r="C368" s="149" t="s">
        <v>325</v>
      </c>
      <c r="D368" s="150">
        <v>0.38</v>
      </c>
      <c r="E368" s="151">
        <v>0.44</v>
      </c>
      <c r="F368" s="147">
        <v>120</v>
      </c>
      <c r="G368" s="151">
        <f t="shared" si="61"/>
        <v>-0.06</v>
      </c>
      <c r="H368" s="147">
        <v>0</v>
      </c>
      <c r="I368" s="151">
        <f>1.05*2.5</f>
        <v>2.625</v>
      </c>
      <c r="J368" s="151">
        <f t="shared" si="62"/>
        <v>2.685</v>
      </c>
      <c r="K368" s="151">
        <f t="shared" si="58"/>
        <v>2.685</v>
      </c>
      <c r="L368" s="152" t="s">
        <v>435</v>
      </c>
      <c r="M368" s="131"/>
      <c r="N368" s="138">
        <v>127</v>
      </c>
      <c r="O368" s="153" t="s">
        <v>697</v>
      </c>
      <c r="P368" s="154" t="s">
        <v>325</v>
      </c>
      <c r="Q368" s="155">
        <f>0.583+0.014</f>
        <v>0.597</v>
      </c>
      <c r="R368" s="150">
        <f t="shared" si="66"/>
        <v>0.977</v>
      </c>
      <c r="S368" s="151">
        <v>0.44</v>
      </c>
      <c r="T368" s="147">
        <v>120</v>
      </c>
      <c r="U368" s="151">
        <f t="shared" si="64"/>
        <v>0.5369999999999999</v>
      </c>
      <c r="V368" s="147">
        <v>0</v>
      </c>
      <c r="W368" s="151">
        <f>1.05*2.5</f>
        <v>2.625</v>
      </c>
      <c r="X368" s="151">
        <f t="shared" si="65"/>
        <v>2.088</v>
      </c>
      <c r="Y368" s="151">
        <f t="shared" si="59"/>
        <v>2.088</v>
      </c>
      <c r="Z368" s="152" t="s">
        <v>435</v>
      </c>
    </row>
    <row r="369" spans="1:26" s="24" customFormat="1" ht="15">
      <c r="A369" s="147">
        <v>126</v>
      </c>
      <c r="B369" s="148" t="s">
        <v>698</v>
      </c>
      <c r="C369" s="149" t="s">
        <v>335</v>
      </c>
      <c r="D369" s="168">
        <v>1.91</v>
      </c>
      <c r="E369" s="151">
        <v>1.03</v>
      </c>
      <c r="F369" s="147">
        <v>120</v>
      </c>
      <c r="G369" s="151">
        <f t="shared" si="61"/>
        <v>0.8799999999999999</v>
      </c>
      <c r="H369" s="147">
        <v>0</v>
      </c>
      <c r="I369" s="151">
        <f>1.05*4</f>
        <v>4.2</v>
      </c>
      <c r="J369" s="151">
        <f t="shared" si="62"/>
        <v>3.3200000000000003</v>
      </c>
      <c r="K369" s="151">
        <f t="shared" si="58"/>
        <v>3.3200000000000003</v>
      </c>
      <c r="L369" s="152" t="s">
        <v>435</v>
      </c>
      <c r="M369" s="131"/>
      <c r="N369" s="138">
        <v>128</v>
      </c>
      <c r="O369" s="153" t="s">
        <v>698</v>
      </c>
      <c r="P369" s="154" t="s">
        <v>335</v>
      </c>
      <c r="Q369" s="155">
        <f>0.421+0.065+0.071+0.053+0.043+0.02+0.069+0.1+0.019</f>
        <v>0.861</v>
      </c>
      <c r="R369" s="150">
        <f t="shared" si="66"/>
        <v>2.771</v>
      </c>
      <c r="S369" s="151">
        <v>1.03</v>
      </c>
      <c r="T369" s="147">
        <v>120</v>
      </c>
      <c r="U369" s="151">
        <f t="shared" si="64"/>
        <v>1.7409999999999999</v>
      </c>
      <c r="V369" s="147">
        <v>0</v>
      </c>
      <c r="W369" s="151">
        <f>1.05*4</f>
        <v>4.2</v>
      </c>
      <c r="X369" s="151">
        <f t="shared" si="65"/>
        <v>2.4590000000000005</v>
      </c>
      <c r="Y369" s="151">
        <f t="shared" si="59"/>
        <v>2.4590000000000005</v>
      </c>
      <c r="Z369" s="152" t="s">
        <v>435</v>
      </c>
    </row>
    <row r="370" spans="1:26" s="24" customFormat="1" ht="15">
      <c r="A370" s="147">
        <v>127</v>
      </c>
      <c r="B370" s="148" t="s">
        <v>699</v>
      </c>
      <c r="C370" s="149" t="s">
        <v>335</v>
      </c>
      <c r="D370" s="150">
        <v>0.74</v>
      </c>
      <c r="E370" s="151">
        <v>0.11</v>
      </c>
      <c r="F370" s="147">
        <v>120</v>
      </c>
      <c r="G370" s="151">
        <f t="shared" si="61"/>
        <v>0.63</v>
      </c>
      <c r="H370" s="147">
        <v>0</v>
      </c>
      <c r="I370" s="151">
        <f>1.05*4</f>
        <v>4.2</v>
      </c>
      <c r="J370" s="151">
        <f t="shared" si="62"/>
        <v>3.5700000000000003</v>
      </c>
      <c r="K370" s="151">
        <f t="shared" si="58"/>
        <v>3.5700000000000003</v>
      </c>
      <c r="L370" s="152" t="s">
        <v>435</v>
      </c>
      <c r="M370" s="131"/>
      <c r="N370" s="138">
        <v>129</v>
      </c>
      <c r="O370" s="153" t="s">
        <v>699</v>
      </c>
      <c r="P370" s="154" t="s">
        <v>335</v>
      </c>
      <c r="Q370" s="155">
        <f>0.025+0.005</f>
        <v>0.030000000000000002</v>
      </c>
      <c r="R370" s="150">
        <f t="shared" si="66"/>
        <v>0.77</v>
      </c>
      <c r="S370" s="151">
        <v>0.11</v>
      </c>
      <c r="T370" s="147">
        <v>120</v>
      </c>
      <c r="U370" s="151">
        <f t="shared" si="64"/>
        <v>0.66</v>
      </c>
      <c r="V370" s="147">
        <v>0</v>
      </c>
      <c r="W370" s="151">
        <f>1.05*4</f>
        <v>4.2</v>
      </c>
      <c r="X370" s="151">
        <f t="shared" si="65"/>
        <v>3.54</v>
      </c>
      <c r="Y370" s="151">
        <f t="shared" si="59"/>
        <v>3.54</v>
      </c>
      <c r="Z370" s="152" t="s">
        <v>435</v>
      </c>
    </row>
    <row r="371" spans="1:26" s="24" customFormat="1" ht="15">
      <c r="A371" s="147">
        <v>128</v>
      </c>
      <c r="B371" s="148" t="s">
        <v>700</v>
      </c>
      <c r="C371" s="149" t="s">
        <v>339</v>
      </c>
      <c r="D371" s="150">
        <v>0.28</v>
      </c>
      <c r="E371" s="151">
        <v>0.29</v>
      </c>
      <c r="F371" s="147">
        <v>120</v>
      </c>
      <c r="G371" s="151">
        <f t="shared" si="61"/>
        <v>-0.009999999999999953</v>
      </c>
      <c r="H371" s="147">
        <v>0</v>
      </c>
      <c r="I371" s="151">
        <f>1.05*1.6</f>
        <v>1.6800000000000002</v>
      </c>
      <c r="J371" s="151">
        <f t="shared" si="62"/>
        <v>1.6900000000000002</v>
      </c>
      <c r="K371" s="151">
        <f t="shared" si="58"/>
        <v>1.6900000000000002</v>
      </c>
      <c r="L371" s="152" t="s">
        <v>435</v>
      </c>
      <c r="M371" s="131"/>
      <c r="N371" s="138">
        <v>130</v>
      </c>
      <c r="O371" s="153" t="s">
        <v>700</v>
      </c>
      <c r="P371" s="154" t="s">
        <v>339</v>
      </c>
      <c r="Q371" s="155">
        <f>0.076+0.03+0.015</f>
        <v>0.121</v>
      </c>
      <c r="R371" s="150">
        <f t="shared" si="66"/>
        <v>0.401</v>
      </c>
      <c r="S371" s="151">
        <v>0.29</v>
      </c>
      <c r="T371" s="147">
        <v>120</v>
      </c>
      <c r="U371" s="151">
        <f t="shared" si="64"/>
        <v>0.11100000000000004</v>
      </c>
      <c r="V371" s="147">
        <v>0</v>
      </c>
      <c r="W371" s="151">
        <f>1.05*1.6</f>
        <v>1.6800000000000002</v>
      </c>
      <c r="X371" s="151">
        <f t="shared" si="65"/>
        <v>1.5690000000000002</v>
      </c>
      <c r="Y371" s="151">
        <f t="shared" si="59"/>
        <v>1.5690000000000002</v>
      </c>
      <c r="Z371" s="152" t="s">
        <v>435</v>
      </c>
    </row>
    <row r="372" spans="1:26" s="24" customFormat="1" ht="15">
      <c r="A372" s="147">
        <v>129</v>
      </c>
      <c r="B372" s="148" t="s">
        <v>701</v>
      </c>
      <c r="C372" s="149" t="s">
        <v>325</v>
      </c>
      <c r="D372" s="150">
        <v>1.25</v>
      </c>
      <c r="E372" s="151">
        <v>1.18</v>
      </c>
      <c r="F372" s="147">
        <v>80</v>
      </c>
      <c r="G372" s="151">
        <f t="shared" si="61"/>
        <v>0.07000000000000006</v>
      </c>
      <c r="H372" s="147">
        <v>0</v>
      </c>
      <c r="I372" s="151">
        <f>1.05*2.5</f>
        <v>2.625</v>
      </c>
      <c r="J372" s="151">
        <f t="shared" si="62"/>
        <v>2.5549999999999997</v>
      </c>
      <c r="K372" s="151">
        <f t="shared" si="58"/>
        <v>2.5549999999999997</v>
      </c>
      <c r="L372" s="152" t="s">
        <v>435</v>
      </c>
      <c r="M372" s="131"/>
      <c r="N372" s="138">
        <v>131</v>
      </c>
      <c r="O372" s="153" t="s">
        <v>701</v>
      </c>
      <c r="P372" s="154" t="s">
        <v>325</v>
      </c>
      <c r="Q372" s="155">
        <v>0.058</v>
      </c>
      <c r="R372" s="150">
        <f t="shared" si="66"/>
        <v>1.308</v>
      </c>
      <c r="S372" s="151">
        <v>1.18</v>
      </c>
      <c r="T372" s="147">
        <v>80</v>
      </c>
      <c r="U372" s="151">
        <f t="shared" si="64"/>
        <v>0.1280000000000001</v>
      </c>
      <c r="V372" s="147">
        <v>0</v>
      </c>
      <c r="W372" s="151">
        <f>1.05*2.5</f>
        <v>2.625</v>
      </c>
      <c r="X372" s="151">
        <f t="shared" si="65"/>
        <v>2.497</v>
      </c>
      <c r="Y372" s="151">
        <f t="shared" si="59"/>
        <v>2.497</v>
      </c>
      <c r="Z372" s="152" t="s">
        <v>435</v>
      </c>
    </row>
    <row r="373" spans="1:26" s="24" customFormat="1" ht="15">
      <c r="A373" s="147">
        <v>130</v>
      </c>
      <c r="B373" s="148" t="s">
        <v>702</v>
      </c>
      <c r="C373" s="149" t="s">
        <v>339</v>
      </c>
      <c r="D373" s="150">
        <v>0.28</v>
      </c>
      <c r="E373" s="151">
        <v>0.08</v>
      </c>
      <c r="F373" s="147">
        <v>20</v>
      </c>
      <c r="G373" s="151">
        <f t="shared" si="61"/>
        <v>0.2</v>
      </c>
      <c r="H373" s="147">
        <v>0</v>
      </c>
      <c r="I373" s="151">
        <f>1.05*1.6</f>
        <v>1.6800000000000002</v>
      </c>
      <c r="J373" s="151">
        <f t="shared" si="62"/>
        <v>1.4800000000000002</v>
      </c>
      <c r="K373" s="151">
        <f aca="true" t="shared" si="67" ref="K373:K392">J373</f>
        <v>1.4800000000000002</v>
      </c>
      <c r="L373" s="152" t="s">
        <v>435</v>
      </c>
      <c r="M373" s="131"/>
      <c r="N373" s="138">
        <v>132</v>
      </c>
      <c r="O373" s="153" t="s">
        <v>702</v>
      </c>
      <c r="P373" s="154" t="s">
        <v>339</v>
      </c>
      <c r="Q373" s="155">
        <f>0.009+0.006</f>
        <v>0.015</v>
      </c>
      <c r="R373" s="150">
        <f t="shared" si="66"/>
        <v>0.29500000000000004</v>
      </c>
      <c r="S373" s="151">
        <v>0.08</v>
      </c>
      <c r="T373" s="147">
        <v>20</v>
      </c>
      <c r="U373" s="151">
        <f t="shared" si="64"/>
        <v>0.21500000000000002</v>
      </c>
      <c r="V373" s="147">
        <v>0</v>
      </c>
      <c r="W373" s="151">
        <f>1.05*1.6</f>
        <v>1.6800000000000002</v>
      </c>
      <c r="X373" s="151">
        <f t="shared" si="65"/>
        <v>1.465</v>
      </c>
      <c r="Y373" s="151">
        <f aca="true" t="shared" si="68" ref="Y373:Y392">X373</f>
        <v>1.465</v>
      </c>
      <c r="Z373" s="152" t="s">
        <v>435</v>
      </c>
    </row>
    <row r="374" spans="1:26" s="24" customFormat="1" ht="15">
      <c r="A374" s="147">
        <v>131</v>
      </c>
      <c r="B374" s="148" t="s">
        <v>703</v>
      </c>
      <c r="C374" s="149" t="s">
        <v>325</v>
      </c>
      <c r="D374" s="150">
        <v>1.39</v>
      </c>
      <c r="E374" s="151">
        <v>0.6</v>
      </c>
      <c r="F374" s="147">
        <v>20</v>
      </c>
      <c r="G374" s="151">
        <f t="shared" si="61"/>
        <v>0.7899999999999999</v>
      </c>
      <c r="H374" s="147">
        <v>0</v>
      </c>
      <c r="I374" s="151">
        <f>1.05*2.5</f>
        <v>2.625</v>
      </c>
      <c r="J374" s="151">
        <f t="shared" si="62"/>
        <v>1.835</v>
      </c>
      <c r="K374" s="151">
        <f t="shared" si="67"/>
        <v>1.835</v>
      </c>
      <c r="L374" s="152" t="s">
        <v>435</v>
      </c>
      <c r="M374" s="131"/>
      <c r="N374" s="138">
        <v>133</v>
      </c>
      <c r="O374" s="153" t="s">
        <v>703</v>
      </c>
      <c r="P374" s="154" t="s">
        <v>325</v>
      </c>
      <c r="Q374" s="155">
        <f>0.361+0.02+0.3439+0.042+0.027+0.717+0.015+0.025+0.012</f>
        <v>1.5628999999999997</v>
      </c>
      <c r="R374" s="150">
        <f t="shared" si="66"/>
        <v>2.9528999999999996</v>
      </c>
      <c r="S374" s="151">
        <v>0.6</v>
      </c>
      <c r="T374" s="147">
        <v>20</v>
      </c>
      <c r="U374" s="151">
        <f t="shared" si="64"/>
        <v>2.3528999999999995</v>
      </c>
      <c r="V374" s="147">
        <v>0</v>
      </c>
      <c r="W374" s="151">
        <f>1.05*2.5</f>
        <v>2.625</v>
      </c>
      <c r="X374" s="151">
        <f t="shared" si="65"/>
        <v>0.27210000000000045</v>
      </c>
      <c r="Y374" s="151">
        <f t="shared" si="68"/>
        <v>0.27210000000000045</v>
      </c>
      <c r="Z374" s="152" t="s">
        <v>435</v>
      </c>
    </row>
    <row r="375" spans="1:26" s="24" customFormat="1" ht="16.5" customHeight="1">
      <c r="A375" s="147">
        <v>132</v>
      </c>
      <c r="B375" s="148" t="s">
        <v>704</v>
      </c>
      <c r="C375" s="149" t="s">
        <v>324</v>
      </c>
      <c r="D375" s="150">
        <v>4.41</v>
      </c>
      <c r="E375" s="151">
        <v>2.25</v>
      </c>
      <c r="F375" s="147">
        <v>80</v>
      </c>
      <c r="G375" s="151">
        <f t="shared" si="61"/>
        <v>2.16</v>
      </c>
      <c r="H375" s="147">
        <v>0</v>
      </c>
      <c r="I375" s="151">
        <f>1.05*6.3</f>
        <v>6.615</v>
      </c>
      <c r="J375" s="151">
        <f t="shared" si="62"/>
        <v>4.455</v>
      </c>
      <c r="K375" s="151">
        <f t="shared" si="67"/>
        <v>4.455</v>
      </c>
      <c r="L375" s="152" t="s">
        <v>435</v>
      </c>
      <c r="M375" s="131"/>
      <c r="N375" s="138">
        <v>134</v>
      </c>
      <c r="O375" s="153" t="s">
        <v>704</v>
      </c>
      <c r="P375" s="154" t="s">
        <v>324</v>
      </c>
      <c r="Q375" s="155">
        <f>0.321+0.042+0.021+0.01+0.004+0.024+0.049+0.144+0.014</f>
        <v>0.629</v>
      </c>
      <c r="R375" s="150">
        <f t="shared" si="66"/>
        <v>5.039</v>
      </c>
      <c r="S375" s="151">
        <v>2.25</v>
      </c>
      <c r="T375" s="147">
        <v>80</v>
      </c>
      <c r="U375" s="151">
        <f t="shared" si="64"/>
        <v>2.7889999999999997</v>
      </c>
      <c r="V375" s="147">
        <v>0</v>
      </c>
      <c r="W375" s="151">
        <f>1.05*6.3</f>
        <v>6.615</v>
      </c>
      <c r="X375" s="151">
        <f t="shared" si="65"/>
        <v>3.8260000000000005</v>
      </c>
      <c r="Y375" s="151">
        <f t="shared" si="68"/>
        <v>3.8260000000000005</v>
      </c>
      <c r="Z375" s="152" t="s">
        <v>435</v>
      </c>
    </row>
    <row r="376" spans="1:26" s="24" customFormat="1" ht="15">
      <c r="A376" s="147">
        <v>133</v>
      </c>
      <c r="B376" s="148" t="s">
        <v>705</v>
      </c>
      <c r="C376" s="149" t="s">
        <v>335</v>
      </c>
      <c r="D376" s="150">
        <v>2.09</v>
      </c>
      <c r="E376" s="151">
        <v>1.4</v>
      </c>
      <c r="F376" s="147">
        <v>45</v>
      </c>
      <c r="G376" s="151">
        <f t="shared" si="61"/>
        <v>0.69</v>
      </c>
      <c r="H376" s="147">
        <v>0</v>
      </c>
      <c r="I376" s="151">
        <f>1.05*4</f>
        <v>4.2</v>
      </c>
      <c r="J376" s="151">
        <f t="shared" si="62"/>
        <v>3.5100000000000002</v>
      </c>
      <c r="K376" s="151">
        <f t="shared" si="67"/>
        <v>3.5100000000000002</v>
      </c>
      <c r="L376" s="152" t="s">
        <v>435</v>
      </c>
      <c r="M376" s="131"/>
      <c r="N376" s="138">
        <v>135</v>
      </c>
      <c r="O376" s="153" t="s">
        <v>705</v>
      </c>
      <c r="P376" s="154" t="s">
        <v>335</v>
      </c>
      <c r="Q376" s="155">
        <f>0.038+0.008+0.015+0.01+0.015+0.043+0.005+0.012</f>
        <v>0.14600000000000002</v>
      </c>
      <c r="R376" s="150">
        <f t="shared" si="66"/>
        <v>2.2359999999999998</v>
      </c>
      <c r="S376" s="151">
        <v>1.4</v>
      </c>
      <c r="T376" s="147">
        <v>45</v>
      </c>
      <c r="U376" s="151">
        <f t="shared" si="64"/>
        <v>0.8359999999999999</v>
      </c>
      <c r="V376" s="147">
        <v>0</v>
      </c>
      <c r="W376" s="151">
        <f>1.05*4</f>
        <v>4.2</v>
      </c>
      <c r="X376" s="151">
        <f t="shared" si="65"/>
        <v>3.3640000000000003</v>
      </c>
      <c r="Y376" s="151">
        <f t="shared" si="68"/>
        <v>3.3640000000000003</v>
      </c>
      <c r="Z376" s="152" t="s">
        <v>435</v>
      </c>
    </row>
    <row r="377" spans="1:26" s="24" customFormat="1" ht="15">
      <c r="A377" s="147">
        <v>134</v>
      </c>
      <c r="B377" s="148" t="s">
        <v>706</v>
      </c>
      <c r="C377" s="149" t="s">
        <v>325</v>
      </c>
      <c r="D377" s="150">
        <v>0.4</v>
      </c>
      <c r="E377" s="151">
        <v>0</v>
      </c>
      <c r="F377" s="147" t="s">
        <v>354</v>
      </c>
      <c r="G377" s="151">
        <f t="shared" si="61"/>
        <v>0.4</v>
      </c>
      <c r="H377" s="147">
        <v>0</v>
      </c>
      <c r="I377" s="151">
        <f>1.05*2.5</f>
        <v>2.625</v>
      </c>
      <c r="J377" s="151">
        <f t="shared" si="62"/>
        <v>2.225</v>
      </c>
      <c r="K377" s="151">
        <f t="shared" si="67"/>
        <v>2.225</v>
      </c>
      <c r="L377" s="152" t="s">
        <v>435</v>
      </c>
      <c r="M377" s="131"/>
      <c r="N377" s="138">
        <v>136</v>
      </c>
      <c r="O377" s="153" t="s">
        <v>706</v>
      </c>
      <c r="P377" s="154" t="s">
        <v>325</v>
      </c>
      <c r="Q377" s="155">
        <f>0.074+0.012+0.01</f>
        <v>0.09599999999999999</v>
      </c>
      <c r="R377" s="150">
        <f t="shared" si="66"/>
        <v>0.496</v>
      </c>
      <c r="S377" s="151">
        <v>0</v>
      </c>
      <c r="T377" s="147" t="s">
        <v>354</v>
      </c>
      <c r="U377" s="151">
        <f t="shared" si="64"/>
        <v>0.496</v>
      </c>
      <c r="V377" s="147">
        <v>0</v>
      </c>
      <c r="W377" s="151">
        <f>1.05*2.5</f>
        <v>2.625</v>
      </c>
      <c r="X377" s="151">
        <f t="shared" si="65"/>
        <v>2.129</v>
      </c>
      <c r="Y377" s="151">
        <f t="shared" si="68"/>
        <v>2.129</v>
      </c>
      <c r="Z377" s="152" t="s">
        <v>435</v>
      </c>
    </row>
    <row r="378" spans="1:26" s="24" customFormat="1" ht="15">
      <c r="A378" s="147">
        <v>135</v>
      </c>
      <c r="B378" s="148" t="s">
        <v>707</v>
      </c>
      <c r="C378" s="149" t="s">
        <v>325</v>
      </c>
      <c r="D378" s="150">
        <v>0.51</v>
      </c>
      <c r="E378" s="151">
        <v>0.6</v>
      </c>
      <c r="F378" s="147">
        <v>120</v>
      </c>
      <c r="G378" s="151">
        <f t="shared" si="61"/>
        <v>-0.08999999999999997</v>
      </c>
      <c r="H378" s="147">
        <v>0</v>
      </c>
      <c r="I378" s="151">
        <f>1.05*2.5</f>
        <v>2.625</v>
      </c>
      <c r="J378" s="151">
        <f t="shared" si="62"/>
        <v>2.715</v>
      </c>
      <c r="K378" s="151">
        <f t="shared" si="67"/>
        <v>2.715</v>
      </c>
      <c r="L378" s="152" t="s">
        <v>435</v>
      </c>
      <c r="M378" s="131"/>
      <c r="N378" s="138">
        <v>137</v>
      </c>
      <c r="O378" s="153" t="s">
        <v>707</v>
      </c>
      <c r="P378" s="154" t="s">
        <v>325</v>
      </c>
      <c r="Q378" s="155">
        <f>0.079+0.03+0.015</f>
        <v>0.124</v>
      </c>
      <c r="R378" s="150">
        <f t="shared" si="66"/>
        <v>0.634</v>
      </c>
      <c r="S378" s="151">
        <v>0.6</v>
      </c>
      <c r="T378" s="147">
        <v>120</v>
      </c>
      <c r="U378" s="151">
        <f t="shared" si="64"/>
        <v>0.03400000000000003</v>
      </c>
      <c r="V378" s="147">
        <v>0</v>
      </c>
      <c r="W378" s="151">
        <f>1.05*2.5</f>
        <v>2.625</v>
      </c>
      <c r="X378" s="151">
        <f t="shared" si="65"/>
        <v>2.591</v>
      </c>
      <c r="Y378" s="151">
        <f t="shared" si="68"/>
        <v>2.591</v>
      </c>
      <c r="Z378" s="152" t="s">
        <v>435</v>
      </c>
    </row>
    <row r="379" spans="1:26" s="24" customFormat="1" ht="15">
      <c r="A379" s="147">
        <v>136</v>
      </c>
      <c r="B379" s="148" t="s">
        <v>708</v>
      </c>
      <c r="C379" s="149" t="s">
        <v>335</v>
      </c>
      <c r="D379" s="150">
        <v>1.31</v>
      </c>
      <c r="E379" s="151">
        <v>0.05</v>
      </c>
      <c r="F379" s="147">
        <v>10</v>
      </c>
      <c r="G379" s="151">
        <f t="shared" si="61"/>
        <v>1.26</v>
      </c>
      <c r="H379" s="147">
        <v>0</v>
      </c>
      <c r="I379" s="151">
        <f>1.05*4</f>
        <v>4.2</v>
      </c>
      <c r="J379" s="151">
        <f t="shared" si="62"/>
        <v>2.9400000000000004</v>
      </c>
      <c r="K379" s="151">
        <f t="shared" si="67"/>
        <v>2.9400000000000004</v>
      </c>
      <c r="L379" s="152" t="s">
        <v>435</v>
      </c>
      <c r="M379" s="131"/>
      <c r="N379" s="138">
        <v>138</v>
      </c>
      <c r="O379" s="153" t="s">
        <v>708</v>
      </c>
      <c r="P379" s="154" t="s">
        <v>335</v>
      </c>
      <c r="Q379" s="155">
        <f>0.083+0.023+0.013</f>
        <v>0.11900000000000001</v>
      </c>
      <c r="R379" s="150">
        <f t="shared" si="66"/>
        <v>1.429</v>
      </c>
      <c r="S379" s="151">
        <v>0.05</v>
      </c>
      <c r="T379" s="147">
        <v>10</v>
      </c>
      <c r="U379" s="151">
        <f t="shared" si="64"/>
        <v>1.379</v>
      </c>
      <c r="V379" s="147">
        <v>0</v>
      </c>
      <c r="W379" s="151">
        <f>1.05*4</f>
        <v>4.2</v>
      </c>
      <c r="X379" s="151">
        <f t="shared" si="65"/>
        <v>2.821</v>
      </c>
      <c r="Y379" s="151">
        <f t="shared" si="68"/>
        <v>2.821</v>
      </c>
      <c r="Z379" s="152" t="s">
        <v>435</v>
      </c>
    </row>
    <row r="380" spans="1:26" s="24" customFormat="1" ht="15">
      <c r="A380" s="147">
        <v>137</v>
      </c>
      <c r="B380" s="148" t="s">
        <v>709</v>
      </c>
      <c r="C380" s="149" t="s">
        <v>345</v>
      </c>
      <c r="D380" s="150">
        <v>1.03</v>
      </c>
      <c r="E380" s="151">
        <v>0.08</v>
      </c>
      <c r="F380" s="147">
        <v>10</v>
      </c>
      <c r="G380" s="151">
        <f t="shared" si="61"/>
        <v>0.9500000000000001</v>
      </c>
      <c r="H380" s="147">
        <v>0</v>
      </c>
      <c r="I380" s="151">
        <f>1.05*1.6</f>
        <v>1.6800000000000002</v>
      </c>
      <c r="J380" s="151">
        <f t="shared" si="62"/>
        <v>0.7300000000000001</v>
      </c>
      <c r="K380" s="151">
        <f t="shared" si="67"/>
        <v>0.7300000000000001</v>
      </c>
      <c r="L380" s="152" t="s">
        <v>435</v>
      </c>
      <c r="M380" s="131"/>
      <c r="N380" s="138">
        <v>139</v>
      </c>
      <c r="O380" s="153" t="s">
        <v>709</v>
      </c>
      <c r="P380" s="154" t="s">
        <v>345</v>
      </c>
      <c r="Q380" s="155">
        <f>0.091+0.01+0.0145+0.0145</f>
        <v>0.13</v>
      </c>
      <c r="R380" s="150">
        <f t="shared" si="66"/>
        <v>1.1600000000000001</v>
      </c>
      <c r="S380" s="151">
        <v>0.08</v>
      </c>
      <c r="T380" s="147">
        <v>10</v>
      </c>
      <c r="U380" s="151">
        <f t="shared" si="64"/>
        <v>1.08</v>
      </c>
      <c r="V380" s="147">
        <v>0</v>
      </c>
      <c r="W380" s="151">
        <f>1.05*1.6</f>
        <v>1.6800000000000002</v>
      </c>
      <c r="X380" s="151">
        <f t="shared" si="65"/>
        <v>0.6000000000000001</v>
      </c>
      <c r="Y380" s="151">
        <f t="shared" si="68"/>
        <v>0.6000000000000001</v>
      </c>
      <c r="Z380" s="152" t="s">
        <v>435</v>
      </c>
    </row>
    <row r="381" spans="1:26" s="24" customFormat="1" ht="15">
      <c r="A381" s="147">
        <v>138</v>
      </c>
      <c r="B381" s="148" t="s">
        <v>710</v>
      </c>
      <c r="C381" s="149" t="s">
        <v>341</v>
      </c>
      <c r="D381" s="150">
        <v>0.77</v>
      </c>
      <c r="E381" s="151">
        <v>0.69</v>
      </c>
      <c r="F381" s="147">
        <v>120</v>
      </c>
      <c r="G381" s="151">
        <f t="shared" si="61"/>
        <v>0.08000000000000007</v>
      </c>
      <c r="H381" s="147">
        <v>0</v>
      </c>
      <c r="I381" s="151">
        <f>1.05*3.2</f>
        <v>3.3600000000000003</v>
      </c>
      <c r="J381" s="151">
        <f t="shared" si="62"/>
        <v>3.2800000000000002</v>
      </c>
      <c r="K381" s="151">
        <f t="shared" si="67"/>
        <v>3.2800000000000002</v>
      </c>
      <c r="L381" s="152" t="s">
        <v>435</v>
      </c>
      <c r="M381" s="131"/>
      <c r="N381" s="138">
        <v>140</v>
      </c>
      <c r="O381" s="153" t="s">
        <v>710</v>
      </c>
      <c r="P381" s="154" t="s">
        <v>341</v>
      </c>
      <c r="Q381" s="155">
        <f>0.12+0.015+0.04+0.008+0.008+0.008+0.015</f>
        <v>0.21400000000000002</v>
      </c>
      <c r="R381" s="150">
        <f t="shared" si="66"/>
        <v>0.984</v>
      </c>
      <c r="S381" s="151">
        <v>0.69</v>
      </c>
      <c r="T381" s="147">
        <v>120</v>
      </c>
      <c r="U381" s="151">
        <f t="shared" si="64"/>
        <v>0.29400000000000004</v>
      </c>
      <c r="V381" s="147">
        <v>0</v>
      </c>
      <c r="W381" s="151">
        <f>1.05*3.2</f>
        <v>3.3600000000000003</v>
      </c>
      <c r="X381" s="151">
        <f t="shared" si="65"/>
        <v>3.0660000000000003</v>
      </c>
      <c r="Y381" s="151">
        <f t="shared" si="68"/>
        <v>3.0660000000000003</v>
      </c>
      <c r="Z381" s="152" t="s">
        <v>435</v>
      </c>
    </row>
    <row r="382" spans="1:26" s="24" customFormat="1" ht="15">
      <c r="A382" s="147">
        <v>139</v>
      </c>
      <c r="B382" s="148" t="s">
        <v>711</v>
      </c>
      <c r="C382" s="149" t="s">
        <v>325</v>
      </c>
      <c r="D382" s="150">
        <v>0.65</v>
      </c>
      <c r="E382" s="151">
        <v>0.58</v>
      </c>
      <c r="F382" s="147">
        <v>80</v>
      </c>
      <c r="G382" s="151">
        <f t="shared" si="61"/>
        <v>0.07000000000000006</v>
      </c>
      <c r="H382" s="147">
        <v>0</v>
      </c>
      <c r="I382" s="151">
        <f>1.05*2.5</f>
        <v>2.625</v>
      </c>
      <c r="J382" s="151">
        <f t="shared" si="62"/>
        <v>2.5549999999999997</v>
      </c>
      <c r="K382" s="151">
        <f t="shared" si="67"/>
        <v>2.5549999999999997</v>
      </c>
      <c r="L382" s="152" t="s">
        <v>435</v>
      </c>
      <c r="M382" s="131"/>
      <c r="N382" s="138">
        <v>141</v>
      </c>
      <c r="O382" s="153" t="s">
        <v>711</v>
      </c>
      <c r="P382" s="154" t="s">
        <v>325</v>
      </c>
      <c r="Q382" s="155">
        <f>0.075+0.015+0.015225</f>
        <v>0.105225</v>
      </c>
      <c r="R382" s="150">
        <f t="shared" si="66"/>
        <v>0.755225</v>
      </c>
      <c r="S382" s="151">
        <v>0.58</v>
      </c>
      <c r="T382" s="147">
        <v>80</v>
      </c>
      <c r="U382" s="151">
        <f t="shared" si="64"/>
        <v>0.17522500000000008</v>
      </c>
      <c r="V382" s="147">
        <v>0</v>
      </c>
      <c r="W382" s="151">
        <f>1.05*2.5</f>
        <v>2.625</v>
      </c>
      <c r="X382" s="151">
        <f t="shared" si="65"/>
        <v>2.449775</v>
      </c>
      <c r="Y382" s="151">
        <f t="shared" si="68"/>
        <v>2.449775</v>
      </c>
      <c r="Z382" s="152" t="s">
        <v>435</v>
      </c>
    </row>
    <row r="383" spans="1:26" s="24" customFormat="1" ht="15">
      <c r="A383" s="147">
        <v>140</v>
      </c>
      <c r="B383" s="148" t="s">
        <v>712</v>
      </c>
      <c r="C383" s="149" t="s">
        <v>339</v>
      </c>
      <c r="D383" s="150">
        <v>0.2</v>
      </c>
      <c r="E383" s="151">
        <v>0.2</v>
      </c>
      <c r="F383" s="147">
        <v>80</v>
      </c>
      <c r="G383" s="151">
        <f t="shared" si="61"/>
        <v>0</v>
      </c>
      <c r="H383" s="147">
        <v>0</v>
      </c>
      <c r="I383" s="151">
        <f>1.05*1.6</f>
        <v>1.6800000000000002</v>
      </c>
      <c r="J383" s="151">
        <f t="shared" si="62"/>
        <v>1.6800000000000002</v>
      </c>
      <c r="K383" s="151">
        <f t="shared" si="67"/>
        <v>1.6800000000000002</v>
      </c>
      <c r="L383" s="152" t="s">
        <v>435</v>
      </c>
      <c r="M383" s="131"/>
      <c r="N383" s="138">
        <v>142</v>
      </c>
      <c r="O383" s="153" t="s">
        <v>712</v>
      </c>
      <c r="P383" s="154" t="s">
        <v>339</v>
      </c>
      <c r="Q383" s="155">
        <f>0.009+0.006+0.015</f>
        <v>0.03</v>
      </c>
      <c r="R383" s="150">
        <f t="shared" si="66"/>
        <v>0.23</v>
      </c>
      <c r="S383" s="151">
        <v>0.2</v>
      </c>
      <c r="T383" s="147">
        <v>80</v>
      </c>
      <c r="U383" s="151">
        <f t="shared" si="64"/>
        <v>0.03</v>
      </c>
      <c r="V383" s="147">
        <v>0</v>
      </c>
      <c r="W383" s="151">
        <f>1.05*1.6</f>
        <v>1.6800000000000002</v>
      </c>
      <c r="X383" s="151">
        <f t="shared" si="65"/>
        <v>1.6500000000000001</v>
      </c>
      <c r="Y383" s="151">
        <f t="shared" si="68"/>
        <v>1.6500000000000001</v>
      </c>
      <c r="Z383" s="152" t="s">
        <v>435</v>
      </c>
    </row>
    <row r="384" spans="1:26" s="24" customFormat="1" ht="15">
      <c r="A384" s="147">
        <v>141</v>
      </c>
      <c r="B384" s="148" t="s">
        <v>713</v>
      </c>
      <c r="C384" s="149" t="s">
        <v>339</v>
      </c>
      <c r="D384" s="168">
        <v>0.24</v>
      </c>
      <c r="E384" s="151">
        <v>0.2</v>
      </c>
      <c r="F384" s="147">
        <v>120</v>
      </c>
      <c r="G384" s="151">
        <f t="shared" si="61"/>
        <v>0.03999999999999998</v>
      </c>
      <c r="H384" s="147">
        <v>0</v>
      </c>
      <c r="I384" s="151">
        <f>1.05*1.6</f>
        <v>1.6800000000000002</v>
      </c>
      <c r="J384" s="151">
        <f t="shared" si="62"/>
        <v>1.6400000000000001</v>
      </c>
      <c r="K384" s="151">
        <f t="shared" si="67"/>
        <v>1.6400000000000001</v>
      </c>
      <c r="L384" s="152" t="s">
        <v>435</v>
      </c>
      <c r="M384" s="131"/>
      <c r="N384" s="138">
        <v>143</v>
      </c>
      <c r="O384" s="153" t="s">
        <v>713</v>
      </c>
      <c r="P384" s="154" t="s">
        <v>339</v>
      </c>
      <c r="Q384" s="155">
        <v>0.019</v>
      </c>
      <c r="R384" s="150">
        <f t="shared" si="66"/>
        <v>0.259</v>
      </c>
      <c r="S384" s="151">
        <v>0.2</v>
      </c>
      <c r="T384" s="147">
        <v>120</v>
      </c>
      <c r="U384" s="151">
        <f t="shared" si="64"/>
        <v>0.059</v>
      </c>
      <c r="V384" s="147">
        <v>0</v>
      </c>
      <c r="W384" s="151">
        <f>1.05*1.6</f>
        <v>1.6800000000000002</v>
      </c>
      <c r="X384" s="151">
        <f t="shared" si="65"/>
        <v>1.6210000000000002</v>
      </c>
      <c r="Y384" s="151">
        <f t="shared" si="68"/>
        <v>1.6210000000000002</v>
      </c>
      <c r="Z384" s="152" t="s">
        <v>435</v>
      </c>
    </row>
    <row r="385" spans="1:26" s="24" customFormat="1" ht="15">
      <c r="A385" s="147">
        <v>142</v>
      </c>
      <c r="B385" s="148" t="s">
        <v>714</v>
      </c>
      <c r="C385" s="149" t="s">
        <v>335</v>
      </c>
      <c r="D385" s="150">
        <v>2.02</v>
      </c>
      <c r="E385" s="151">
        <v>1.08</v>
      </c>
      <c r="F385" s="147">
        <v>45</v>
      </c>
      <c r="G385" s="151">
        <f t="shared" si="61"/>
        <v>0.94</v>
      </c>
      <c r="H385" s="147">
        <v>0</v>
      </c>
      <c r="I385" s="151">
        <f>1.05*4</f>
        <v>4.2</v>
      </c>
      <c r="J385" s="151">
        <f t="shared" si="62"/>
        <v>3.2600000000000002</v>
      </c>
      <c r="K385" s="151">
        <f t="shared" si="67"/>
        <v>3.2600000000000002</v>
      </c>
      <c r="L385" s="152" t="s">
        <v>435</v>
      </c>
      <c r="M385" s="131"/>
      <c r="N385" s="138">
        <v>144</v>
      </c>
      <c r="O385" s="153" t="s">
        <v>714</v>
      </c>
      <c r="P385" s="154" t="s">
        <v>335</v>
      </c>
      <c r="Q385" s="155">
        <f>0.11+0.01+0.008+0.015+0.015</f>
        <v>0.15800000000000003</v>
      </c>
      <c r="R385" s="150">
        <f t="shared" si="66"/>
        <v>2.178</v>
      </c>
      <c r="S385" s="151">
        <v>1.08</v>
      </c>
      <c r="T385" s="147">
        <v>45</v>
      </c>
      <c r="U385" s="151">
        <f t="shared" si="64"/>
        <v>1.0979999999999999</v>
      </c>
      <c r="V385" s="147">
        <v>0</v>
      </c>
      <c r="W385" s="151">
        <f>1.05*4</f>
        <v>4.2</v>
      </c>
      <c r="X385" s="151">
        <f t="shared" si="65"/>
        <v>3.1020000000000003</v>
      </c>
      <c r="Y385" s="151">
        <f t="shared" si="68"/>
        <v>3.1020000000000003</v>
      </c>
      <c r="Z385" s="152" t="s">
        <v>435</v>
      </c>
    </row>
    <row r="386" spans="1:26" s="24" customFormat="1" ht="15">
      <c r="A386" s="147">
        <v>143</v>
      </c>
      <c r="B386" s="148" t="s">
        <v>715</v>
      </c>
      <c r="C386" s="149" t="s">
        <v>325</v>
      </c>
      <c r="D386" s="150">
        <v>0.44</v>
      </c>
      <c r="E386" s="151">
        <v>0.6</v>
      </c>
      <c r="F386" s="147">
        <v>120</v>
      </c>
      <c r="G386" s="151">
        <f t="shared" si="61"/>
        <v>-0.15999999999999998</v>
      </c>
      <c r="H386" s="147">
        <v>0</v>
      </c>
      <c r="I386" s="151">
        <f>1.05*2.5</f>
        <v>2.625</v>
      </c>
      <c r="J386" s="151">
        <f t="shared" si="62"/>
        <v>2.785</v>
      </c>
      <c r="K386" s="151">
        <f t="shared" si="67"/>
        <v>2.785</v>
      </c>
      <c r="L386" s="152" t="s">
        <v>435</v>
      </c>
      <c r="M386" s="131"/>
      <c r="N386" s="138">
        <v>145</v>
      </c>
      <c r="O386" s="153" t="s">
        <v>715</v>
      </c>
      <c r="P386" s="154" t="s">
        <v>325</v>
      </c>
      <c r="Q386" s="155">
        <f>0.065+0.015+0.03</f>
        <v>0.11</v>
      </c>
      <c r="R386" s="150">
        <f t="shared" si="66"/>
        <v>0.55</v>
      </c>
      <c r="S386" s="151">
        <v>0.6</v>
      </c>
      <c r="T386" s="147">
        <v>120</v>
      </c>
      <c r="U386" s="151">
        <f t="shared" si="64"/>
        <v>-0.04999999999999993</v>
      </c>
      <c r="V386" s="147">
        <v>0</v>
      </c>
      <c r="W386" s="151">
        <f>1.05*2.5</f>
        <v>2.625</v>
      </c>
      <c r="X386" s="151">
        <f t="shared" si="65"/>
        <v>2.675</v>
      </c>
      <c r="Y386" s="151">
        <f t="shared" si="68"/>
        <v>2.675</v>
      </c>
      <c r="Z386" s="152" t="s">
        <v>435</v>
      </c>
    </row>
    <row r="387" spans="1:26" s="24" customFormat="1" ht="15">
      <c r="A387" s="147">
        <v>144</v>
      </c>
      <c r="B387" s="148" t="s">
        <v>716</v>
      </c>
      <c r="C387" s="149" t="s">
        <v>325</v>
      </c>
      <c r="D387" s="150">
        <v>1.11</v>
      </c>
      <c r="E387" s="151">
        <v>1</v>
      </c>
      <c r="F387" s="147">
        <v>80</v>
      </c>
      <c r="G387" s="151">
        <f t="shared" si="61"/>
        <v>0.1100000000000001</v>
      </c>
      <c r="H387" s="147">
        <v>0</v>
      </c>
      <c r="I387" s="151">
        <f>1.05*2.5</f>
        <v>2.625</v>
      </c>
      <c r="J387" s="151">
        <f t="shared" si="62"/>
        <v>2.5149999999999997</v>
      </c>
      <c r="K387" s="151">
        <f t="shared" si="67"/>
        <v>2.5149999999999997</v>
      </c>
      <c r="L387" s="152" t="s">
        <v>435</v>
      </c>
      <c r="M387" s="131"/>
      <c r="N387" s="138">
        <v>146</v>
      </c>
      <c r="O387" s="153" t="s">
        <v>716</v>
      </c>
      <c r="P387" s="154" t="s">
        <v>325</v>
      </c>
      <c r="Q387" s="155">
        <f>0.049+0.055+0.028+0.031+0.023+0.015+0.008</f>
        <v>0.20900000000000002</v>
      </c>
      <c r="R387" s="150">
        <f t="shared" si="66"/>
        <v>1.3190000000000002</v>
      </c>
      <c r="S387" s="151">
        <v>1</v>
      </c>
      <c r="T387" s="147">
        <v>80</v>
      </c>
      <c r="U387" s="151">
        <f t="shared" si="64"/>
        <v>0.3190000000000002</v>
      </c>
      <c r="V387" s="147">
        <v>0</v>
      </c>
      <c r="W387" s="151">
        <f>1.05*2.5</f>
        <v>2.625</v>
      </c>
      <c r="X387" s="151">
        <f t="shared" si="65"/>
        <v>2.306</v>
      </c>
      <c r="Y387" s="151">
        <f t="shared" si="68"/>
        <v>2.306</v>
      </c>
      <c r="Z387" s="152" t="s">
        <v>435</v>
      </c>
    </row>
    <row r="388" spans="1:26" s="24" customFormat="1" ht="15">
      <c r="A388" s="147">
        <v>145</v>
      </c>
      <c r="B388" s="148" t="s">
        <v>717</v>
      </c>
      <c r="C388" s="149" t="s">
        <v>397</v>
      </c>
      <c r="D388" s="150">
        <v>22.44</v>
      </c>
      <c r="E388" s="151">
        <v>5</v>
      </c>
      <c r="F388" s="147" t="s">
        <v>365</v>
      </c>
      <c r="G388" s="151">
        <f t="shared" si="61"/>
        <v>17.44</v>
      </c>
      <c r="H388" s="147">
        <v>0</v>
      </c>
      <c r="I388" s="151">
        <f>1.05*40</f>
        <v>42</v>
      </c>
      <c r="J388" s="151">
        <f t="shared" si="62"/>
        <v>24.56</v>
      </c>
      <c r="K388" s="151">
        <f t="shared" si="67"/>
        <v>24.56</v>
      </c>
      <c r="L388" s="152" t="s">
        <v>435</v>
      </c>
      <c r="M388" s="131"/>
      <c r="N388" s="138">
        <v>147</v>
      </c>
      <c r="O388" s="153" t="s">
        <v>717</v>
      </c>
      <c r="P388" s="154" t="s">
        <v>397</v>
      </c>
      <c r="Q388" s="155">
        <v>0.008</v>
      </c>
      <c r="R388" s="150">
        <f t="shared" si="66"/>
        <v>22.448</v>
      </c>
      <c r="S388" s="151">
        <v>5</v>
      </c>
      <c r="T388" s="147" t="s">
        <v>365</v>
      </c>
      <c r="U388" s="151">
        <f t="shared" si="64"/>
        <v>17.448</v>
      </c>
      <c r="V388" s="147">
        <v>0</v>
      </c>
      <c r="W388" s="151">
        <f>1.05*40</f>
        <v>42</v>
      </c>
      <c r="X388" s="151">
        <f t="shared" si="65"/>
        <v>24.552</v>
      </c>
      <c r="Y388" s="151">
        <f t="shared" si="68"/>
        <v>24.552</v>
      </c>
      <c r="Z388" s="152" t="s">
        <v>435</v>
      </c>
    </row>
    <row r="389" spans="1:26" s="24" customFormat="1" ht="15">
      <c r="A389" s="147">
        <v>146</v>
      </c>
      <c r="B389" s="148" t="s">
        <v>718</v>
      </c>
      <c r="C389" s="149" t="s">
        <v>325</v>
      </c>
      <c r="D389" s="150">
        <v>0.2</v>
      </c>
      <c r="E389" s="151">
        <v>0.5</v>
      </c>
      <c r="F389" s="147">
        <v>120</v>
      </c>
      <c r="G389" s="151">
        <f t="shared" si="61"/>
        <v>-0.3</v>
      </c>
      <c r="H389" s="147">
        <v>0</v>
      </c>
      <c r="I389" s="151">
        <f>1.05*2.5</f>
        <v>2.625</v>
      </c>
      <c r="J389" s="151">
        <f t="shared" si="62"/>
        <v>2.925</v>
      </c>
      <c r="K389" s="151">
        <f t="shared" si="67"/>
        <v>2.925</v>
      </c>
      <c r="L389" s="152" t="s">
        <v>435</v>
      </c>
      <c r="M389" s="131"/>
      <c r="N389" s="138">
        <v>148</v>
      </c>
      <c r="O389" s="153" t="s">
        <v>718</v>
      </c>
      <c r="P389" s="154" t="s">
        <v>325</v>
      </c>
      <c r="Q389" s="155">
        <v>0.01</v>
      </c>
      <c r="R389" s="150">
        <f t="shared" si="66"/>
        <v>0.21000000000000002</v>
      </c>
      <c r="S389" s="151">
        <v>0.5</v>
      </c>
      <c r="T389" s="147">
        <v>120</v>
      </c>
      <c r="U389" s="151">
        <f t="shared" si="64"/>
        <v>-0.29</v>
      </c>
      <c r="V389" s="147">
        <v>0</v>
      </c>
      <c r="W389" s="151">
        <f>1.05*2.5</f>
        <v>2.625</v>
      </c>
      <c r="X389" s="151">
        <f t="shared" si="65"/>
        <v>2.915</v>
      </c>
      <c r="Y389" s="151">
        <f t="shared" si="68"/>
        <v>2.915</v>
      </c>
      <c r="Z389" s="152" t="s">
        <v>435</v>
      </c>
    </row>
    <row r="390" spans="1:26" s="24" customFormat="1" ht="15">
      <c r="A390" s="147">
        <v>147</v>
      </c>
      <c r="B390" s="148" t="s">
        <v>719</v>
      </c>
      <c r="C390" s="149" t="s">
        <v>337</v>
      </c>
      <c r="D390" s="150">
        <v>0.38</v>
      </c>
      <c r="E390" s="151">
        <v>0.21</v>
      </c>
      <c r="F390" s="147">
        <v>80</v>
      </c>
      <c r="G390" s="151">
        <f t="shared" si="61"/>
        <v>0.17</v>
      </c>
      <c r="H390" s="147">
        <v>0</v>
      </c>
      <c r="I390" s="151">
        <f>1.05*2.5</f>
        <v>2.625</v>
      </c>
      <c r="J390" s="151">
        <f t="shared" si="62"/>
        <v>2.455</v>
      </c>
      <c r="K390" s="151">
        <f t="shared" si="67"/>
        <v>2.455</v>
      </c>
      <c r="L390" s="152" t="s">
        <v>435</v>
      </c>
      <c r="M390" s="131"/>
      <c r="N390" s="138">
        <v>149</v>
      </c>
      <c r="O390" s="153" t="s">
        <v>719</v>
      </c>
      <c r="P390" s="154" t="s">
        <v>337</v>
      </c>
      <c r="Q390" s="155">
        <f>0.085+0.005</f>
        <v>0.09000000000000001</v>
      </c>
      <c r="R390" s="150">
        <f t="shared" si="66"/>
        <v>0.47000000000000003</v>
      </c>
      <c r="S390" s="151">
        <v>0.21</v>
      </c>
      <c r="T390" s="147">
        <v>80</v>
      </c>
      <c r="U390" s="151">
        <f t="shared" si="64"/>
        <v>0.26</v>
      </c>
      <c r="V390" s="147">
        <v>0</v>
      </c>
      <c r="W390" s="151">
        <f>1.05*2.5</f>
        <v>2.625</v>
      </c>
      <c r="X390" s="151">
        <f t="shared" si="65"/>
        <v>2.365</v>
      </c>
      <c r="Y390" s="151">
        <f t="shared" si="68"/>
        <v>2.365</v>
      </c>
      <c r="Z390" s="152" t="s">
        <v>435</v>
      </c>
    </row>
    <row r="391" spans="1:26" s="24" customFormat="1" ht="15">
      <c r="A391" s="147">
        <v>148</v>
      </c>
      <c r="B391" s="148" t="s">
        <v>720</v>
      </c>
      <c r="C391" s="149" t="s">
        <v>325</v>
      </c>
      <c r="D391" s="150">
        <v>0.2</v>
      </c>
      <c r="E391" s="151">
        <v>0.3</v>
      </c>
      <c r="F391" s="147">
        <v>120</v>
      </c>
      <c r="G391" s="151">
        <f t="shared" si="61"/>
        <v>-0.09999999999999998</v>
      </c>
      <c r="H391" s="147">
        <v>0</v>
      </c>
      <c r="I391" s="151">
        <f>1.05*2.5</f>
        <v>2.625</v>
      </c>
      <c r="J391" s="151">
        <f t="shared" si="62"/>
        <v>2.725</v>
      </c>
      <c r="K391" s="151">
        <f t="shared" si="67"/>
        <v>2.725</v>
      </c>
      <c r="L391" s="152" t="s">
        <v>435</v>
      </c>
      <c r="M391" s="131"/>
      <c r="N391" s="138">
        <v>150</v>
      </c>
      <c r="O391" s="153" t="s">
        <v>720</v>
      </c>
      <c r="P391" s="154" t="s">
        <v>325</v>
      </c>
      <c r="Q391" s="155">
        <v>0.012</v>
      </c>
      <c r="R391" s="150">
        <f t="shared" si="66"/>
        <v>0.21200000000000002</v>
      </c>
      <c r="S391" s="151">
        <v>0.3</v>
      </c>
      <c r="T391" s="147">
        <v>120</v>
      </c>
      <c r="U391" s="151">
        <f t="shared" si="64"/>
        <v>-0.08799999999999997</v>
      </c>
      <c r="V391" s="147">
        <v>0</v>
      </c>
      <c r="W391" s="151">
        <f>1.05*2.5</f>
        <v>2.625</v>
      </c>
      <c r="X391" s="151">
        <f t="shared" si="65"/>
        <v>2.713</v>
      </c>
      <c r="Y391" s="151">
        <f t="shared" si="68"/>
        <v>2.713</v>
      </c>
      <c r="Z391" s="152" t="s">
        <v>435</v>
      </c>
    </row>
    <row r="392" spans="1:26" s="24" customFormat="1" ht="15">
      <c r="A392" s="147">
        <v>149</v>
      </c>
      <c r="B392" s="148" t="s">
        <v>566</v>
      </c>
      <c r="C392" s="149" t="s">
        <v>342</v>
      </c>
      <c r="D392" s="168">
        <v>1.53</v>
      </c>
      <c r="E392" s="151">
        <v>0.6</v>
      </c>
      <c r="F392" s="147">
        <v>120</v>
      </c>
      <c r="G392" s="151">
        <f t="shared" si="61"/>
        <v>0.93</v>
      </c>
      <c r="H392" s="147">
        <v>0</v>
      </c>
      <c r="I392" s="151">
        <f>1.05*4</f>
        <v>4.2</v>
      </c>
      <c r="J392" s="151">
        <f t="shared" si="62"/>
        <v>3.27</v>
      </c>
      <c r="K392" s="151">
        <f t="shared" si="67"/>
        <v>3.27</v>
      </c>
      <c r="L392" s="152" t="s">
        <v>435</v>
      </c>
      <c r="M392" s="131"/>
      <c r="N392" s="138">
        <v>151</v>
      </c>
      <c r="O392" s="153" t="s">
        <v>566</v>
      </c>
      <c r="P392" s="154" t="s">
        <v>342</v>
      </c>
      <c r="Q392" s="155">
        <f>0.017+0.004+0.0232+0.015+0.01</f>
        <v>0.0692</v>
      </c>
      <c r="R392" s="150">
        <f t="shared" si="66"/>
        <v>1.5992</v>
      </c>
      <c r="S392" s="151">
        <v>0.6</v>
      </c>
      <c r="T392" s="147">
        <v>120</v>
      </c>
      <c r="U392" s="151">
        <f t="shared" si="64"/>
        <v>0.9992</v>
      </c>
      <c r="V392" s="147">
        <v>0</v>
      </c>
      <c r="W392" s="151">
        <f>1.05*4</f>
        <v>4.2</v>
      </c>
      <c r="X392" s="151">
        <f t="shared" si="65"/>
        <v>3.2008</v>
      </c>
      <c r="Y392" s="151">
        <f t="shared" si="68"/>
        <v>3.2008</v>
      </c>
      <c r="Z392" s="152" t="s">
        <v>435</v>
      </c>
    </row>
    <row r="393" spans="1:26" s="24" customFormat="1" ht="15">
      <c r="A393" s="147">
        <v>150</v>
      </c>
      <c r="B393" s="148" t="s">
        <v>721</v>
      </c>
      <c r="C393" s="149" t="s">
        <v>329</v>
      </c>
      <c r="D393" s="150">
        <v>8.43</v>
      </c>
      <c r="E393" s="151">
        <v>4.7</v>
      </c>
      <c r="F393" s="147">
        <v>80</v>
      </c>
      <c r="G393" s="151">
        <f t="shared" si="61"/>
        <v>3.7299999999999995</v>
      </c>
      <c r="H393" s="147">
        <v>0</v>
      </c>
      <c r="I393" s="151">
        <f>1.05*10</f>
        <v>10.5</v>
      </c>
      <c r="J393" s="151">
        <f t="shared" si="62"/>
        <v>6.7700000000000005</v>
      </c>
      <c r="K393" s="151">
        <f>J393</f>
        <v>6.7700000000000005</v>
      </c>
      <c r="L393" s="152" t="s">
        <v>435</v>
      </c>
      <c r="M393" s="131"/>
      <c r="N393" s="138">
        <v>152</v>
      </c>
      <c r="O393" s="153" t="s">
        <v>721</v>
      </c>
      <c r="P393" s="154" t="s">
        <v>329</v>
      </c>
      <c r="Q393" s="155">
        <v>2.35</v>
      </c>
      <c r="R393" s="150">
        <f t="shared" si="66"/>
        <v>10.78</v>
      </c>
      <c r="S393" s="151">
        <v>4.7</v>
      </c>
      <c r="T393" s="147">
        <v>80</v>
      </c>
      <c r="U393" s="151">
        <f t="shared" si="64"/>
        <v>6.079999999999999</v>
      </c>
      <c r="V393" s="147">
        <v>0</v>
      </c>
      <c r="W393" s="151">
        <f>1.05*10</f>
        <v>10.5</v>
      </c>
      <c r="X393" s="151">
        <f t="shared" si="65"/>
        <v>4.420000000000001</v>
      </c>
      <c r="Y393" s="151">
        <f>X393</f>
        <v>4.420000000000001</v>
      </c>
      <c r="Z393" s="152" t="s">
        <v>435</v>
      </c>
    </row>
    <row r="394" spans="1:26" s="31" customFormat="1" ht="22.5">
      <c r="A394" s="147">
        <v>151</v>
      </c>
      <c r="B394" s="148" t="s">
        <v>722</v>
      </c>
      <c r="C394" s="149" t="s">
        <v>325</v>
      </c>
      <c r="D394" s="150">
        <v>2.46</v>
      </c>
      <c r="E394" s="151">
        <v>3.9</v>
      </c>
      <c r="F394" s="147">
        <v>120</v>
      </c>
      <c r="G394" s="151">
        <f t="shared" si="61"/>
        <v>-1.44</v>
      </c>
      <c r="H394" s="147">
        <v>0</v>
      </c>
      <c r="I394" s="151">
        <f>1.05*2.5</f>
        <v>2.625</v>
      </c>
      <c r="J394" s="151">
        <f t="shared" si="62"/>
        <v>4.0649999999999995</v>
      </c>
      <c r="K394" s="151">
        <f>J394</f>
        <v>4.0649999999999995</v>
      </c>
      <c r="L394" s="152" t="s">
        <v>435</v>
      </c>
      <c r="M394" s="131"/>
      <c r="N394" s="138">
        <v>153</v>
      </c>
      <c r="O394" s="148" t="s">
        <v>722</v>
      </c>
      <c r="P394" s="189" t="s">
        <v>325</v>
      </c>
      <c r="Q394" s="155">
        <f>0.053+0.02+0.014+0.015+0.025+0.025+0.017+0.017+0.02+0.04+0.007</f>
        <v>0.253</v>
      </c>
      <c r="R394" s="150">
        <f t="shared" si="66"/>
        <v>2.713</v>
      </c>
      <c r="S394" s="151">
        <v>3.9</v>
      </c>
      <c r="T394" s="147">
        <v>120</v>
      </c>
      <c r="U394" s="151">
        <f t="shared" si="64"/>
        <v>-1.1869999999999998</v>
      </c>
      <c r="V394" s="147">
        <v>0</v>
      </c>
      <c r="W394" s="151">
        <f>1.05*2.5</f>
        <v>2.625</v>
      </c>
      <c r="X394" s="151">
        <f t="shared" si="65"/>
        <v>3.812</v>
      </c>
      <c r="Y394" s="151">
        <f>X394</f>
        <v>3.812</v>
      </c>
      <c r="Z394" s="152" t="s">
        <v>435</v>
      </c>
    </row>
    <row r="395" spans="1:26" s="31" customFormat="1" ht="15">
      <c r="A395" s="147">
        <v>152</v>
      </c>
      <c r="B395" s="148" t="s">
        <v>723</v>
      </c>
      <c r="C395" s="149" t="s">
        <v>405</v>
      </c>
      <c r="D395" s="150">
        <v>4.2</v>
      </c>
      <c r="E395" s="151">
        <v>20.2</v>
      </c>
      <c r="F395" s="147">
        <v>120</v>
      </c>
      <c r="G395" s="151">
        <f t="shared" si="61"/>
        <v>-16</v>
      </c>
      <c r="H395" s="147">
        <v>0</v>
      </c>
      <c r="I395" s="151">
        <f>1.05*25</f>
        <v>26.25</v>
      </c>
      <c r="J395" s="151">
        <f t="shared" si="62"/>
        <v>42.25</v>
      </c>
      <c r="K395" s="151">
        <f>J395</f>
        <v>42.25</v>
      </c>
      <c r="L395" s="152" t="s">
        <v>435</v>
      </c>
      <c r="M395" s="131"/>
      <c r="N395" s="138">
        <v>154</v>
      </c>
      <c r="O395" s="148" t="s">
        <v>723</v>
      </c>
      <c r="P395" s="189" t="s">
        <v>405</v>
      </c>
      <c r="Q395" s="155">
        <v>0.000115</v>
      </c>
      <c r="R395" s="150">
        <f>Q395+D395</f>
        <v>4.200115</v>
      </c>
      <c r="S395" s="151">
        <v>20.2</v>
      </c>
      <c r="T395" s="147">
        <v>120</v>
      </c>
      <c r="U395" s="151">
        <f t="shared" si="64"/>
        <v>-15.999884999999999</v>
      </c>
      <c r="V395" s="147">
        <v>0</v>
      </c>
      <c r="W395" s="151">
        <f>1.05*25</f>
        <v>26.25</v>
      </c>
      <c r="X395" s="151">
        <f t="shared" si="65"/>
        <v>42.249885</v>
      </c>
      <c r="Y395" s="151">
        <f>X395</f>
        <v>42.249885</v>
      </c>
      <c r="Z395" s="152" t="s">
        <v>435</v>
      </c>
    </row>
    <row r="396" spans="1:26" s="32" customFormat="1" ht="15">
      <c r="A396" s="222"/>
      <c r="B396" s="190" t="s">
        <v>724</v>
      </c>
      <c r="C396" s="191">
        <v>3292.8</v>
      </c>
      <c r="D396" s="192">
        <v>792.57</v>
      </c>
      <c r="E396" s="191">
        <v>798.66</v>
      </c>
      <c r="F396" s="191"/>
      <c r="G396" s="191"/>
      <c r="H396" s="191"/>
      <c r="I396" s="191"/>
      <c r="J396" s="191"/>
      <c r="K396" s="191">
        <f>K398+7.48</f>
        <v>1229.52</v>
      </c>
      <c r="L396" s="193"/>
      <c r="M396" s="142"/>
      <c r="N396" s="223"/>
      <c r="O396" s="195" t="s">
        <v>724</v>
      </c>
      <c r="P396" s="196">
        <v>3292.8</v>
      </c>
      <c r="Q396" s="197">
        <v>792.57</v>
      </c>
      <c r="R396" s="197">
        <v>143.76349199999999</v>
      </c>
      <c r="S396" s="198">
        <v>798.66</v>
      </c>
      <c r="T396" s="194"/>
      <c r="U396" s="197"/>
      <c r="V396" s="199"/>
      <c r="W396" s="197"/>
      <c r="X396" s="197"/>
      <c r="Y396" s="200">
        <f>Y398+35.903</f>
        <v>1192.9719579999996</v>
      </c>
      <c r="Z396" s="193"/>
    </row>
    <row r="397" spans="1:26" s="32" customFormat="1" ht="15">
      <c r="A397" s="222"/>
      <c r="B397" s="190" t="s">
        <v>725</v>
      </c>
      <c r="C397" s="191"/>
      <c r="D397" s="192"/>
      <c r="E397" s="191"/>
      <c r="F397" s="191"/>
      <c r="G397" s="191"/>
      <c r="H397" s="191"/>
      <c r="I397" s="191"/>
      <c r="J397" s="191"/>
      <c r="K397" s="191">
        <f>K167+K185</f>
        <v>-7.4750000000000005</v>
      </c>
      <c r="L397" s="201"/>
      <c r="M397" s="142"/>
      <c r="N397" s="223"/>
      <c r="O397" s="195" t="s">
        <v>725</v>
      </c>
      <c r="P397" s="202"/>
      <c r="Q397" s="203"/>
      <c r="R397" s="204"/>
      <c r="S397" s="194"/>
      <c r="T397" s="194"/>
      <c r="U397" s="199"/>
      <c r="V397" s="199"/>
      <c r="W397" s="197"/>
      <c r="X397" s="197"/>
      <c r="Y397" s="197">
        <f>SUM(Y11,Y27,Y49,Y53,Y107,Y117:Y118,Y146,Y167,Y172,Y185,Y336)</f>
        <v>-36.55876</v>
      </c>
      <c r="Z397" s="201"/>
    </row>
    <row r="398" spans="1:26" s="32" customFormat="1" ht="15">
      <c r="A398" s="222"/>
      <c r="B398" s="190" t="s">
        <v>726</v>
      </c>
      <c r="C398" s="191"/>
      <c r="D398" s="192"/>
      <c r="E398" s="191"/>
      <c r="F398" s="191"/>
      <c r="G398" s="191"/>
      <c r="H398" s="191"/>
      <c r="I398" s="191"/>
      <c r="J398" s="191"/>
      <c r="K398" s="191">
        <f>SUM(K8:K146)+SUM(K148:K166)+SUM(K168:K184)+SUM(K188:K394)</f>
        <v>1222.04</v>
      </c>
      <c r="L398" s="194"/>
      <c r="M398" s="142"/>
      <c r="N398" s="223"/>
      <c r="O398" s="195" t="s">
        <v>726</v>
      </c>
      <c r="P398" s="202"/>
      <c r="Q398" s="203"/>
      <c r="R398" s="198"/>
      <c r="S398" s="194"/>
      <c r="T398" s="194"/>
      <c r="U398" s="199"/>
      <c r="V398" s="199"/>
      <c r="W398" s="197"/>
      <c r="X398" s="197"/>
      <c r="Y398" s="197">
        <f>SUM(Y8,Y12:Y26,Y28:Y48,Y50:Y52,Y54:Y106,Y108:Y116,Y119:Y145,Y148:Y166,Y168:Y171,Y175:Y184,Y188:Y335,Y337:Y395)</f>
        <v>1157.0689579999996</v>
      </c>
      <c r="Z398" s="202"/>
    </row>
    <row r="399" spans="1:26" s="32" customFormat="1" ht="15">
      <c r="A399" s="205"/>
      <c r="B399" s="133"/>
      <c r="C399" s="134"/>
      <c r="D399" s="135"/>
      <c r="E399" s="132"/>
      <c r="F399" s="132"/>
      <c r="G399" s="133"/>
      <c r="H399" s="206"/>
      <c r="I399" s="132"/>
      <c r="J399" s="132"/>
      <c r="K399" s="132"/>
      <c r="L399" s="207"/>
      <c r="M399" s="142"/>
      <c r="N399" s="132"/>
      <c r="O399" s="133"/>
      <c r="P399" s="133"/>
      <c r="Q399" s="134"/>
      <c r="R399" s="135"/>
      <c r="S399" s="132"/>
      <c r="T399" s="132"/>
      <c r="U399" s="133"/>
      <c r="V399" s="133"/>
      <c r="W399" s="132"/>
      <c r="X399" s="132"/>
      <c r="Y399" s="132"/>
      <c r="Z399" s="130"/>
    </row>
    <row r="400" spans="1:26" ht="15">
      <c r="A400" s="208"/>
      <c r="B400" s="130" t="s">
        <v>727</v>
      </c>
      <c r="H400" s="213"/>
      <c r="L400" s="207"/>
      <c r="O400" s="130" t="s">
        <v>729</v>
      </c>
      <c r="P400" s="209"/>
      <c r="Q400" s="210"/>
      <c r="T400" s="212"/>
      <c r="U400" s="213"/>
      <c r="V400" s="211"/>
      <c r="Y400" s="207"/>
      <c r="Z400" s="214"/>
    </row>
    <row r="401" spans="1:26" ht="15">
      <c r="A401" s="208"/>
      <c r="B401" s="212" t="s">
        <v>728</v>
      </c>
      <c r="H401" s="213"/>
      <c r="L401" s="207"/>
      <c r="O401" s="212" t="s">
        <v>730</v>
      </c>
      <c r="P401" s="209"/>
      <c r="Q401" s="210"/>
      <c r="T401" s="212"/>
      <c r="U401" s="213"/>
      <c r="V401" s="211"/>
      <c r="Y401" s="207"/>
      <c r="Z401" s="214"/>
    </row>
    <row r="402" spans="1:12" ht="15">
      <c r="A402" s="208"/>
      <c r="H402" s="213"/>
      <c r="L402" s="207"/>
    </row>
    <row r="403" spans="1:23" ht="15">
      <c r="A403" s="208"/>
      <c r="C403" s="215" t="s">
        <v>731</v>
      </c>
      <c r="D403" s="216"/>
      <c r="E403" s="216"/>
      <c r="F403" s="216"/>
      <c r="G403" s="215"/>
      <c r="H403" s="217"/>
      <c r="I403" s="216"/>
      <c r="J403" s="216"/>
      <c r="L403" s="207"/>
      <c r="P403" s="215" t="s">
        <v>731</v>
      </c>
      <c r="Q403" s="216"/>
      <c r="R403" s="216"/>
      <c r="S403" s="216"/>
      <c r="T403" s="215"/>
      <c r="U403" s="217"/>
      <c r="V403" s="216"/>
      <c r="W403" s="216"/>
    </row>
    <row r="404" spans="1:23" ht="15">
      <c r="A404" s="208"/>
      <c r="C404" s="215" t="s">
        <v>732</v>
      </c>
      <c r="D404" s="216"/>
      <c r="E404" s="216"/>
      <c r="F404" s="216"/>
      <c r="G404" s="215"/>
      <c r="H404" s="217"/>
      <c r="I404" s="216"/>
      <c r="J404" s="216" t="s">
        <v>733</v>
      </c>
      <c r="P404" s="215" t="s">
        <v>732</v>
      </c>
      <c r="Q404" s="216"/>
      <c r="R404" s="216"/>
      <c r="S404" s="216"/>
      <c r="T404" s="215"/>
      <c r="U404" s="217"/>
      <c r="V404" s="216"/>
      <c r="W404" s="216" t="s">
        <v>733</v>
      </c>
    </row>
    <row r="405" spans="1:8" ht="15">
      <c r="A405" s="208"/>
      <c r="H405" s="213"/>
    </row>
    <row r="406" spans="1:8" ht="15">
      <c r="A406" s="208"/>
      <c r="H406" s="213"/>
    </row>
    <row r="407" spans="1:8" ht="15">
      <c r="A407" s="208"/>
      <c r="H407" s="213"/>
    </row>
    <row r="408" spans="1:8" ht="15">
      <c r="A408" s="208"/>
      <c r="H408" s="213"/>
    </row>
    <row r="409" spans="1:8" ht="15">
      <c r="A409" s="208"/>
      <c r="H409" s="213"/>
    </row>
    <row r="410" spans="1:8" ht="15">
      <c r="A410" s="208"/>
      <c r="H410" s="213"/>
    </row>
    <row r="411" spans="1:8" ht="15">
      <c r="A411" s="208"/>
      <c r="H411" s="213"/>
    </row>
    <row r="412" spans="1:8" ht="15">
      <c r="A412" s="208"/>
      <c r="H412" s="213"/>
    </row>
    <row r="413" spans="1:8" ht="15">
      <c r="A413" s="208"/>
      <c r="H413" s="213"/>
    </row>
    <row r="414" spans="1:8" ht="15">
      <c r="A414" s="208"/>
      <c r="H414" s="213"/>
    </row>
    <row r="415" spans="1:8" ht="15">
      <c r="A415" s="208"/>
      <c r="H415" s="213"/>
    </row>
    <row r="416" spans="1:8" ht="15">
      <c r="A416" s="208"/>
      <c r="H416" s="213"/>
    </row>
    <row r="417" spans="1:8" ht="15">
      <c r="A417" s="208"/>
      <c r="H417" s="213"/>
    </row>
    <row r="418" spans="1:8" ht="15">
      <c r="A418" s="208"/>
      <c r="H418" s="213"/>
    </row>
    <row r="419" spans="1:8" ht="15">
      <c r="A419" s="208"/>
      <c r="H419" s="213"/>
    </row>
    <row r="420" spans="1:8" ht="15">
      <c r="A420" s="208"/>
      <c r="H420" s="213"/>
    </row>
    <row r="421" spans="1:8" ht="15">
      <c r="A421" s="208"/>
      <c r="H421" s="213"/>
    </row>
    <row r="422" spans="1:8" ht="15">
      <c r="A422" s="208"/>
      <c r="H422" s="213"/>
    </row>
    <row r="423" spans="1:8" ht="15">
      <c r="A423" s="208"/>
      <c r="H423" s="213"/>
    </row>
    <row r="424" spans="1:8" ht="15">
      <c r="A424" s="208"/>
      <c r="H424" s="213"/>
    </row>
    <row r="425" spans="1:8" ht="15">
      <c r="A425" s="208"/>
      <c r="H425" s="213"/>
    </row>
    <row r="426" spans="1:8" ht="15">
      <c r="A426" s="208"/>
      <c r="H426" s="213"/>
    </row>
    <row r="427" spans="1:8" ht="15">
      <c r="A427" s="208"/>
      <c r="H427" s="213"/>
    </row>
    <row r="428" spans="1:8" ht="15">
      <c r="A428" s="208"/>
      <c r="H428" s="213"/>
    </row>
    <row r="429" spans="1:8" ht="15">
      <c r="A429" s="208"/>
      <c r="H429" s="213"/>
    </row>
    <row r="430" spans="1:8" ht="15">
      <c r="A430" s="208"/>
      <c r="H430" s="213"/>
    </row>
    <row r="431" spans="1:8" ht="15">
      <c r="A431" s="208"/>
      <c r="H431" s="213"/>
    </row>
    <row r="432" spans="1:8" ht="15">
      <c r="A432" s="208"/>
      <c r="H432" s="213"/>
    </row>
    <row r="433" spans="1:8" ht="15">
      <c r="A433" s="208"/>
      <c r="H433" s="213"/>
    </row>
    <row r="434" spans="1:8" ht="15">
      <c r="A434" s="208"/>
      <c r="H434" s="213"/>
    </row>
    <row r="435" spans="1:8" ht="15">
      <c r="A435" s="208"/>
      <c r="H435" s="213"/>
    </row>
    <row r="436" spans="1:8" ht="15">
      <c r="A436" s="208"/>
      <c r="H436" s="213"/>
    </row>
    <row r="437" spans="1:8" ht="15">
      <c r="A437" s="208"/>
      <c r="H437" s="213"/>
    </row>
    <row r="438" spans="1:8" ht="15">
      <c r="A438" s="208"/>
      <c r="H438" s="213"/>
    </row>
    <row r="439" spans="1:8" ht="15">
      <c r="A439" s="208"/>
      <c r="H439" s="213"/>
    </row>
    <row r="440" spans="1:8" ht="15">
      <c r="A440" s="208"/>
      <c r="H440" s="213"/>
    </row>
    <row r="441" spans="1:8" ht="15">
      <c r="A441" s="208"/>
      <c r="H441" s="213"/>
    </row>
    <row r="442" spans="1:8" ht="15">
      <c r="A442" s="208"/>
      <c r="H442" s="213"/>
    </row>
    <row r="443" spans="1:8" ht="15">
      <c r="A443" s="208"/>
      <c r="H443" s="213"/>
    </row>
    <row r="444" spans="1:8" ht="15">
      <c r="A444" s="208"/>
      <c r="H444" s="213"/>
    </row>
    <row r="445" spans="1:8" ht="15">
      <c r="A445" s="208"/>
      <c r="H445" s="213"/>
    </row>
    <row r="446" spans="1:8" ht="15">
      <c r="A446" s="208"/>
      <c r="H446" s="213"/>
    </row>
    <row r="447" spans="1:8" ht="15">
      <c r="A447" s="208"/>
      <c r="H447" s="213"/>
    </row>
    <row r="448" spans="1:8" ht="15">
      <c r="A448" s="208"/>
      <c r="H448" s="213"/>
    </row>
    <row r="449" spans="1:8" ht="15">
      <c r="A449" s="208"/>
      <c r="H449" s="213"/>
    </row>
    <row r="450" spans="1:8" ht="15">
      <c r="A450" s="208"/>
      <c r="H450" s="213"/>
    </row>
    <row r="451" spans="1:8" ht="15">
      <c r="A451" s="208"/>
      <c r="H451" s="213"/>
    </row>
    <row r="452" spans="1:8" ht="15">
      <c r="A452" s="208"/>
      <c r="H452" s="213"/>
    </row>
    <row r="453" spans="1:8" ht="15">
      <c r="A453" s="208"/>
      <c r="H453" s="213"/>
    </row>
    <row r="454" spans="1:8" ht="15">
      <c r="A454" s="208"/>
      <c r="H454" s="213"/>
    </row>
    <row r="455" spans="1:8" ht="15">
      <c r="A455" s="208"/>
      <c r="H455" s="213"/>
    </row>
    <row r="456" spans="1:8" ht="15">
      <c r="A456" s="208"/>
      <c r="H456" s="213"/>
    </row>
    <row r="457" spans="1:8" ht="15">
      <c r="A457" s="208"/>
      <c r="H457" s="213"/>
    </row>
    <row r="458" spans="1:8" ht="15">
      <c r="A458" s="208"/>
      <c r="H458" s="213"/>
    </row>
    <row r="459" spans="1:8" ht="15">
      <c r="A459" s="208"/>
      <c r="H459" s="213"/>
    </row>
    <row r="460" spans="1:8" ht="15">
      <c r="A460" s="208"/>
      <c r="H460" s="213"/>
    </row>
    <row r="461" spans="1:8" ht="15">
      <c r="A461" s="208"/>
      <c r="H461" s="213"/>
    </row>
    <row r="462" spans="1:8" ht="15">
      <c r="A462" s="208"/>
      <c r="H462" s="213"/>
    </row>
    <row r="463" spans="1:8" ht="15">
      <c r="A463" s="208"/>
      <c r="H463" s="213"/>
    </row>
    <row r="464" spans="1:8" ht="15">
      <c r="A464" s="208"/>
      <c r="H464" s="213"/>
    </row>
    <row r="465" spans="1:8" ht="15">
      <c r="A465" s="208"/>
      <c r="H465" s="213"/>
    </row>
    <row r="466" spans="1:8" ht="15">
      <c r="A466" s="208"/>
      <c r="H466" s="213"/>
    </row>
    <row r="467" spans="1:8" ht="15">
      <c r="A467" s="208"/>
      <c r="H467" s="213"/>
    </row>
    <row r="468" spans="1:8" ht="15">
      <c r="A468" s="208"/>
      <c r="H468" s="213"/>
    </row>
    <row r="469" spans="1:8" ht="15">
      <c r="A469" s="208"/>
      <c r="H469" s="213"/>
    </row>
    <row r="470" spans="1:8" ht="15">
      <c r="A470" s="208"/>
      <c r="H470" s="213"/>
    </row>
    <row r="471" spans="1:8" ht="15">
      <c r="A471" s="208"/>
      <c r="H471" s="213"/>
    </row>
    <row r="472" spans="1:8" ht="15">
      <c r="A472" s="208"/>
      <c r="H472" s="213"/>
    </row>
    <row r="473" spans="1:8" ht="15">
      <c r="A473" s="208"/>
      <c r="H473" s="213"/>
    </row>
    <row r="474" spans="1:8" ht="15">
      <c r="A474" s="208"/>
      <c r="H474" s="213"/>
    </row>
    <row r="475" spans="1:8" ht="15">
      <c r="A475" s="208"/>
      <c r="H475" s="213"/>
    </row>
    <row r="476" spans="1:8" ht="15">
      <c r="A476" s="208"/>
      <c r="H476" s="213"/>
    </row>
    <row r="477" spans="1:8" ht="15">
      <c r="A477" s="208"/>
      <c r="H477" s="213"/>
    </row>
    <row r="478" spans="1:8" ht="15">
      <c r="A478" s="208"/>
      <c r="H478" s="213"/>
    </row>
    <row r="479" spans="1:8" ht="15">
      <c r="A479" s="208"/>
      <c r="H479" s="213"/>
    </row>
    <row r="480" spans="1:8" ht="15">
      <c r="A480" s="208"/>
      <c r="H480" s="213"/>
    </row>
    <row r="481" spans="1:8" ht="15">
      <c r="A481" s="208"/>
      <c r="H481" s="213"/>
    </row>
    <row r="482" ht="15">
      <c r="H482" s="213"/>
    </row>
    <row r="483" ht="15">
      <c r="H483" s="213"/>
    </row>
    <row r="484" ht="15">
      <c r="H484" s="213"/>
    </row>
    <row r="485" ht="15">
      <c r="H485" s="213"/>
    </row>
    <row r="486" ht="15">
      <c r="H486" s="213"/>
    </row>
    <row r="487" ht="15">
      <c r="H487" s="213"/>
    </row>
    <row r="488" ht="15">
      <c r="H488" s="213"/>
    </row>
    <row r="489" ht="15">
      <c r="H489" s="213"/>
    </row>
    <row r="490" ht="15">
      <c r="H490" s="213"/>
    </row>
    <row r="491" ht="15">
      <c r="H491" s="213"/>
    </row>
    <row r="492" ht="15">
      <c r="H492" s="213"/>
    </row>
    <row r="493" ht="15">
      <c r="H493" s="213"/>
    </row>
    <row r="494" ht="15">
      <c r="H494" s="213"/>
    </row>
    <row r="495" ht="15">
      <c r="H495" s="213"/>
    </row>
    <row r="496" ht="15">
      <c r="H496" s="213"/>
    </row>
    <row r="497" ht="15">
      <c r="H497" s="213"/>
    </row>
    <row r="498" ht="15">
      <c r="H498" s="213"/>
    </row>
    <row r="499" ht="15">
      <c r="H499" s="213"/>
    </row>
    <row r="500" ht="15">
      <c r="H500" s="213"/>
    </row>
    <row r="501" ht="15">
      <c r="H501" s="213"/>
    </row>
    <row r="502" ht="15">
      <c r="H502" s="213"/>
    </row>
    <row r="503" ht="15">
      <c r="H503" s="213"/>
    </row>
    <row r="504" ht="15">
      <c r="H504" s="213"/>
    </row>
    <row r="505" ht="15">
      <c r="H505" s="213"/>
    </row>
    <row r="506" ht="15">
      <c r="H506" s="213"/>
    </row>
    <row r="507" ht="15">
      <c r="H507" s="213"/>
    </row>
    <row r="508" ht="15">
      <c r="H508" s="213"/>
    </row>
    <row r="509" ht="15">
      <c r="H509" s="213"/>
    </row>
    <row r="510" ht="15">
      <c r="H510" s="213"/>
    </row>
    <row r="511" ht="15">
      <c r="H511" s="213"/>
    </row>
    <row r="512" ht="15">
      <c r="H512" s="213"/>
    </row>
    <row r="513" ht="15">
      <c r="H513" s="213"/>
    </row>
    <row r="514" ht="15">
      <c r="H514" s="213"/>
    </row>
  </sheetData>
  <sheetProtection/>
  <autoFilter ref="A6:Z398"/>
  <mergeCells count="345">
    <mergeCell ref="X4:Y5"/>
    <mergeCell ref="J2:K2"/>
    <mergeCell ref="X2:Y2"/>
    <mergeCell ref="B1:K1"/>
    <mergeCell ref="X1:Y1"/>
    <mergeCell ref="A3:A5"/>
    <mergeCell ref="B3:B5"/>
    <mergeCell ref="C3:K3"/>
    <mergeCell ref="L3:L5"/>
    <mergeCell ref="H4:H5"/>
    <mergeCell ref="I4:I5"/>
    <mergeCell ref="A7:K7"/>
    <mergeCell ref="N7:Z7"/>
    <mergeCell ref="A8:A10"/>
    <mergeCell ref="K8:K10"/>
    <mergeCell ref="L8:L10"/>
    <mergeCell ref="N8:N10"/>
    <mergeCell ref="Q4:Q5"/>
    <mergeCell ref="Y8:Y10"/>
    <mergeCell ref="Z8:Z10"/>
    <mergeCell ref="Z3:Z5"/>
    <mergeCell ref="R4:R5"/>
    <mergeCell ref="S4:T4"/>
    <mergeCell ref="U4:U5"/>
    <mergeCell ref="V4:V5"/>
    <mergeCell ref="W4:W5"/>
    <mergeCell ref="J4:K5"/>
    <mergeCell ref="P4:P5"/>
    <mergeCell ref="N3:N5"/>
    <mergeCell ref="O3:O5"/>
    <mergeCell ref="C4:C5"/>
    <mergeCell ref="D4:D5"/>
    <mergeCell ref="E4:F4"/>
    <mergeCell ref="G4:G5"/>
    <mergeCell ref="P3:Y3"/>
    <mergeCell ref="L21:L23"/>
    <mergeCell ref="N21:N23"/>
    <mergeCell ref="A21:A23"/>
    <mergeCell ref="K21:K23"/>
    <mergeCell ref="A147:K147"/>
    <mergeCell ref="N147:Z147"/>
    <mergeCell ref="A16:A18"/>
    <mergeCell ref="K16:K18"/>
    <mergeCell ref="Y12:Y14"/>
    <mergeCell ref="Z12:Z14"/>
    <mergeCell ref="A12:A14"/>
    <mergeCell ref="K12:K14"/>
    <mergeCell ref="L12:L14"/>
    <mergeCell ref="N12:N14"/>
    <mergeCell ref="Y16:Y18"/>
    <mergeCell ref="Z16:Z18"/>
    <mergeCell ref="L16:L18"/>
    <mergeCell ref="N16:N18"/>
    <mergeCell ref="Y21:Y23"/>
    <mergeCell ref="Z21:Z23"/>
    <mergeCell ref="Y150:Y152"/>
    <mergeCell ref="Z150:Z152"/>
    <mergeCell ref="Y157:Y159"/>
    <mergeCell ref="Z157:Z159"/>
    <mergeCell ref="Y154:Y156"/>
    <mergeCell ref="Z154:Z156"/>
    <mergeCell ref="A28:A30"/>
    <mergeCell ref="K28:K30"/>
    <mergeCell ref="Y28:Y30"/>
    <mergeCell ref="Z28:Z30"/>
    <mergeCell ref="L28:L30"/>
    <mergeCell ref="N28:N30"/>
    <mergeCell ref="A150:A152"/>
    <mergeCell ref="K150:K152"/>
    <mergeCell ref="L150:L152"/>
    <mergeCell ref="N150:N152"/>
    <mergeCell ref="A154:A156"/>
    <mergeCell ref="K154:K156"/>
    <mergeCell ref="A157:A159"/>
    <mergeCell ref="K157:K159"/>
    <mergeCell ref="L154:L156"/>
    <mergeCell ref="N154:N156"/>
    <mergeCell ref="A168:A170"/>
    <mergeCell ref="K168:K170"/>
    <mergeCell ref="Y164:Y166"/>
    <mergeCell ref="L168:L170"/>
    <mergeCell ref="N168:N170"/>
    <mergeCell ref="L164:L166"/>
    <mergeCell ref="N164:N166"/>
    <mergeCell ref="A164:A166"/>
    <mergeCell ref="K164:K166"/>
    <mergeCell ref="L157:L159"/>
    <mergeCell ref="N157:N159"/>
    <mergeCell ref="Y160:Y162"/>
    <mergeCell ref="Z160:Z162"/>
    <mergeCell ref="Y172:Y174"/>
    <mergeCell ref="Z172:Z174"/>
    <mergeCell ref="Y168:Y170"/>
    <mergeCell ref="Z168:Z170"/>
    <mergeCell ref="A160:A162"/>
    <mergeCell ref="K160:K162"/>
    <mergeCell ref="L160:L162"/>
    <mergeCell ref="N160:N162"/>
    <mergeCell ref="Z164:Z166"/>
    <mergeCell ref="L172:L174"/>
    <mergeCell ref="N172:N174"/>
    <mergeCell ref="A175:A177"/>
    <mergeCell ref="K175:K177"/>
    <mergeCell ref="L175:L177"/>
    <mergeCell ref="N175:N177"/>
    <mergeCell ref="A182:A184"/>
    <mergeCell ref="K182:K184"/>
    <mergeCell ref="A172:A174"/>
    <mergeCell ref="K172:K174"/>
    <mergeCell ref="L185:L187"/>
    <mergeCell ref="N185:N187"/>
    <mergeCell ref="L188:L190"/>
    <mergeCell ref="N188:N190"/>
    <mergeCell ref="Y175:Y177"/>
    <mergeCell ref="Z175:Z177"/>
    <mergeCell ref="L182:L184"/>
    <mergeCell ref="N182:N184"/>
    <mergeCell ref="Y182:Y184"/>
    <mergeCell ref="Z182:Z184"/>
    <mergeCell ref="A209:A211"/>
    <mergeCell ref="K209:K211"/>
    <mergeCell ref="A201:A203"/>
    <mergeCell ref="K201:K203"/>
    <mergeCell ref="Y185:Y187"/>
    <mergeCell ref="Z185:Z187"/>
    <mergeCell ref="A191:A193"/>
    <mergeCell ref="K191:K193"/>
    <mergeCell ref="L191:L193"/>
    <mergeCell ref="N191:N193"/>
    <mergeCell ref="A185:A187"/>
    <mergeCell ref="K185:K187"/>
    <mergeCell ref="A188:A190"/>
    <mergeCell ref="K188:K190"/>
    <mergeCell ref="Y188:Y190"/>
    <mergeCell ref="Z188:Z190"/>
    <mergeCell ref="A197:A199"/>
    <mergeCell ref="K197:K199"/>
    <mergeCell ref="Y194:Y196"/>
    <mergeCell ref="Z194:Z196"/>
    <mergeCell ref="L197:L199"/>
    <mergeCell ref="N197:N199"/>
    <mergeCell ref="L194:L196"/>
    <mergeCell ref="N194:N196"/>
    <mergeCell ref="L201:L203"/>
    <mergeCell ref="N201:N203"/>
    <mergeCell ref="A205:A207"/>
    <mergeCell ref="K205:K207"/>
    <mergeCell ref="L205:L207"/>
    <mergeCell ref="N205:N207"/>
    <mergeCell ref="Y191:Y193"/>
    <mergeCell ref="Z191:Z193"/>
    <mergeCell ref="Y201:Y203"/>
    <mergeCell ref="Z201:Z203"/>
    <mergeCell ref="Y197:Y199"/>
    <mergeCell ref="Z197:Z199"/>
    <mergeCell ref="A194:A196"/>
    <mergeCell ref="K194:K196"/>
    <mergeCell ref="L212:L214"/>
    <mergeCell ref="N212:N214"/>
    <mergeCell ref="L215:L217"/>
    <mergeCell ref="N215:N217"/>
    <mergeCell ref="Y205:Y207"/>
    <mergeCell ref="Z205:Z207"/>
    <mergeCell ref="L209:L211"/>
    <mergeCell ref="N209:N211"/>
    <mergeCell ref="Y209:Y211"/>
    <mergeCell ref="Z209:Z211"/>
    <mergeCell ref="A235:A237"/>
    <mergeCell ref="K235:K237"/>
    <mergeCell ref="A228:A230"/>
    <mergeCell ref="K228:K230"/>
    <mergeCell ref="Y212:Y214"/>
    <mergeCell ref="Z212:Z214"/>
    <mergeCell ref="A218:A220"/>
    <mergeCell ref="K218:K220"/>
    <mergeCell ref="L218:L220"/>
    <mergeCell ref="N218:N220"/>
    <mergeCell ref="A212:A214"/>
    <mergeCell ref="K212:K214"/>
    <mergeCell ref="A215:A217"/>
    <mergeCell ref="K215:K217"/>
    <mergeCell ref="Y215:Y217"/>
    <mergeCell ref="Z215:Z217"/>
    <mergeCell ref="A225:A227"/>
    <mergeCell ref="K225:K227"/>
    <mergeCell ref="Y221:Y223"/>
    <mergeCell ref="Z221:Z223"/>
    <mergeCell ref="L225:L227"/>
    <mergeCell ref="N225:N227"/>
    <mergeCell ref="L221:L223"/>
    <mergeCell ref="N221:N223"/>
    <mergeCell ref="L232:L234"/>
    <mergeCell ref="N232:N234"/>
    <mergeCell ref="Y218:Y220"/>
    <mergeCell ref="Z218:Z220"/>
    <mergeCell ref="Y228:Y230"/>
    <mergeCell ref="Z228:Z230"/>
    <mergeCell ref="Y225:Y227"/>
    <mergeCell ref="Z225:Z227"/>
    <mergeCell ref="A221:A223"/>
    <mergeCell ref="K221:K223"/>
    <mergeCell ref="A268:A270"/>
    <mergeCell ref="K268:K270"/>
    <mergeCell ref="A259:A261"/>
    <mergeCell ref="K259:K261"/>
    <mergeCell ref="A253:A255"/>
    <mergeCell ref="K253:K255"/>
    <mergeCell ref="Y238:Y240"/>
    <mergeCell ref="Z238:Z240"/>
    <mergeCell ref="A245:A247"/>
    <mergeCell ref="K245:K247"/>
    <mergeCell ref="L245:L247"/>
    <mergeCell ref="N245:N247"/>
    <mergeCell ref="A238:A240"/>
    <mergeCell ref="K238:K240"/>
    <mergeCell ref="A242:A244"/>
    <mergeCell ref="K242:K244"/>
    <mergeCell ref="Y242:Y244"/>
    <mergeCell ref="Z242:Z244"/>
    <mergeCell ref="A256:A258"/>
    <mergeCell ref="K256:K258"/>
    <mergeCell ref="Y250:Y252"/>
    <mergeCell ref="Z250:Z252"/>
    <mergeCell ref="L256:L258"/>
    <mergeCell ref="N256:N258"/>
    <mergeCell ref="L259:L261"/>
    <mergeCell ref="N259:N261"/>
    <mergeCell ref="A262:A264"/>
    <mergeCell ref="K262:K264"/>
    <mergeCell ref="L262:L264"/>
    <mergeCell ref="N262:N264"/>
    <mergeCell ref="Y245:Y247"/>
    <mergeCell ref="Z245:Z247"/>
    <mergeCell ref="Y259:Y261"/>
    <mergeCell ref="Z259:Z261"/>
    <mergeCell ref="Y256:Y258"/>
    <mergeCell ref="Z256:Z258"/>
    <mergeCell ref="A250:A252"/>
    <mergeCell ref="K250:K252"/>
    <mergeCell ref="L250:L252"/>
    <mergeCell ref="N250:N252"/>
    <mergeCell ref="Z271:Z273"/>
    <mergeCell ref="L271:L273"/>
    <mergeCell ref="N271:N273"/>
    <mergeCell ref="Y262:Y264"/>
    <mergeCell ref="Z262:Z264"/>
    <mergeCell ref="L268:L270"/>
    <mergeCell ref="N268:N270"/>
    <mergeCell ref="Y268:Y270"/>
    <mergeCell ref="Z268:Z270"/>
    <mergeCell ref="A271:A273"/>
    <mergeCell ref="K271:K273"/>
    <mergeCell ref="A283:A285"/>
    <mergeCell ref="K283:K285"/>
    <mergeCell ref="A277:A279"/>
    <mergeCell ref="K277:K279"/>
    <mergeCell ref="A274:A276"/>
    <mergeCell ref="K274:K276"/>
    <mergeCell ref="Y271:Y273"/>
    <mergeCell ref="Y280:Y282"/>
    <mergeCell ref="Z280:Z282"/>
    <mergeCell ref="Y286:Y288"/>
    <mergeCell ref="Z286:Z288"/>
    <mergeCell ref="Y283:Y285"/>
    <mergeCell ref="Z283:Z285"/>
    <mergeCell ref="Y277:Y279"/>
    <mergeCell ref="Z277:Z279"/>
    <mergeCell ref="L274:L276"/>
    <mergeCell ref="N274:N276"/>
    <mergeCell ref="L277:L279"/>
    <mergeCell ref="N277:N279"/>
    <mergeCell ref="Y274:Y276"/>
    <mergeCell ref="Z274:Z276"/>
    <mergeCell ref="A286:A288"/>
    <mergeCell ref="K286:K288"/>
    <mergeCell ref="L280:L282"/>
    <mergeCell ref="N280:N282"/>
    <mergeCell ref="A280:A282"/>
    <mergeCell ref="K280:K282"/>
    <mergeCell ref="L283:L285"/>
    <mergeCell ref="N283:N285"/>
    <mergeCell ref="L286:L288"/>
    <mergeCell ref="N286:N288"/>
    <mergeCell ref="Z292:Z294"/>
    <mergeCell ref="Y289:Y291"/>
    <mergeCell ref="Z289:Z291"/>
    <mergeCell ref="Y298:Y300"/>
    <mergeCell ref="Z298:Z300"/>
    <mergeCell ref="Y295:Y297"/>
    <mergeCell ref="Z295:Z297"/>
    <mergeCell ref="A289:A291"/>
    <mergeCell ref="K289:K291"/>
    <mergeCell ref="L289:L291"/>
    <mergeCell ref="N289:N291"/>
    <mergeCell ref="A292:A294"/>
    <mergeCell ref="K292:K294"/>
    <mergeCell ref="L292:L294"/>
    <mergeCell ref="N292:N294"/>
    <mergeCell ref="A295:A297"/>
    <mergeCell ref="K295:K297"/>
    <mergeCell ref="L295:L297"/>
    <mergeCell ref="N295:N297"/>
    <mergeCell ref="A298:A300"/>
    <mergeCell ref="K298:K300"/>
    <mergeCell ref="L298:L300"/>
    <mergeCell ref="N298:N300"/>
    <mergeCell ref="Y292:Y294"/>
    <mergeCell ref="A396:A398"/>
    <mergeCell ref="N396:N398"/>
    <mergeCell ref="A304:A306"/>
    <mergeCell ref="K304:K306"/>
    <mergeCell ref="L304:L306"/>
    <mergeCell ref="N304:N306"/>
    <mergeCell ref="Y304:Y306"/>
    <mergeCell ref="Z304:Z306"/>
    <mergeCell ref="A301:A303"/>
    <mergeCell ref="K301:K303"/>
    <mergeCell ref="L301:L303"/>
    <mergeCell ref="N301:N303"/>
    <mergeCell ref="Y301:Y303"/>
    <mergeCell ref="Z301:Z303"/>
    <mergeCell ref="L253:L255"/>
    <mergeCell ref="N253:N255"/>
    <mergeCell ref="Y253:Y255"/>
    <mergeCell ref="Z253:Z255"/>
    <mergeCell ref="A179:A181"/>
    <mergeCell ref="K179:K181"/>
    <mergeCell ref="L179:L181"/>
    <mergeCell ref="N179:N181"/>
    <mergeCell ref="Y179:Y181"/>
    <mergeCell ref="Z179:Z181"/>
    <mergeCell ref="L238:L240"/>
    <mergeCell ref="N238:N240"/>
    <mergeCell ref="L242:L244"/>
    <mergeCell ref="N242:N244"/>
    <mergeCell ref="Y232:Y234"/>
    <mergeCell ref="Z232:Z234"/>
    <mergeCell ref="L235:L237"/>
    <mergeCell ref="N235:N237"/>
    <mergeCell ref="Y235:Y237"/>
    <mergeCell ref="Z235:Z237"/>
    <mergeCell ref="L228:L230"/>
    <mergeCell ref="N228:N230"/>
    <mergeCell ref="A232:A234"/>
    <mergeCell ref="K232:K234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3" r:id="rId1"/>
  <rowBreaks count="7" manualBreakCount="7">
    <brk id="236" max="25" man="1"/>
    <brk id="256" max="25" man="1"/>
    <brk id="273" max="25" man="1"/>
    <brk id="294" max="25" man="1"/>
    <brk id="323" max="25" man="1"/>
    <brk id="368" max="25" man="1"/>
    <brk id="409" max="11" man="1"/>
  </rowBreaks>
  <colBreaks count="1" manualBreakCount="1">
    <brk id="12" max="4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A11" sqref="A1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264" t="s">
        <v>406</v>
      </c>
      <c r="B1" s="264"/>
      <c r="C1" s="264"/>
      <c r="D1" s="264"/>
    </row>
    <row r="2" spans="1:4" ht="15">
      <c r="A2" s="265" t="s">
        <v>359</v>
      </c>
      <c r="B2" s="268" t="s">
        <v>0</v>
      </c>
      <c r="C2" s="269"/>
      <c r="D2" s="265" t="s">
        <v>382</v>
      </c>
    </row>
    <row r="3" spans="1:4" ht="15">
      <c r="A3" s="266"/>
      <c r="B3" s="270"/>
      <c r="C3" s="271"/>
      <c r="D3" s="274"/>
    </row>
    <row r="4" spans="1:4" ht="15">
      <c r="A4" s="267"/>
      <c r="B4" s="272"/>
      <c r="C4" s="273"/>
      <c r="D4" s="275"/>
    </row>
    <row r="5" spans="1:4" ht="18.75">
      <c r="A5" s="276" t="s">
        <v>360</v>
      </c>
      <c r="B5" s="277"/>
      <c r="C5" s="277"/>
      <c r="D5" s="278"/>
    </row>
    <row r="6" spans="1:4" s="89" customFormat="1" ht="18.75">
      <c r="A6" s="47" t="s">
        <v>366</v>
      </c>
      <c r="B6" s="47" t="s">
        <v>367</v>
      </c>
      <c r="C6" s="47" t="s">
        <v>368</v>
      </c>
      <c r="D6" s="88">
        <v>-7.17</v>
      </c>
    </row>
    <row r="7" spans="1:4" s="89" customFormat="1" ht="18.75">
      <c r="A7" s="47" t="s">
        <v>369</v>
      </c>
      <c r="B7" s="47" t="s">
        <v>177</v>
      </c>
      <c r="C7" s="47" t="s">
        <v>310</v>
      </c>
      <c r="D7" s="88">
        <v>-0.305</v>
      </c>
    </row>
    <row r="8" spans="1:4" ht="19.5">
      <c r="A8" s="263" t="s">
        <v>394</v>
      </c>
      <c r="B8" s="263"/>
      <c r="C8" s="263"/>
      <c r="D8" s="90">
        <f>D6+D7</f>
        <v>-7.475</v>
      </c>
    </row>
    <row r="10" ht="15">
      <c r="A10" s="75" t="s">
        <v>384</v>
      </c>
    </row>
    <row r="11" ht="15">
      <c r="A11" s="75" t="s">
        <v>410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0" zoomScaleSheetLayoutView="110" zoomScalePageLayoutView="0" workbookViewId="0" topLeftCell="A1">
      <selection activeCell="H17" sqref="H17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89" customWidth="1"/>
    <col min="5" max="16384" width="9.140625" style="1" customWidth="1"/>
  </cols>
  <sheetData>
    <row r="1" spans="1:13" ht="116.25" customHeight="1">
      <c r="A1" s="279" t="s">
        <v>412</v>
      </c>
      <c r="B1" s="279"/>
      <c r="C1" s="279"/>
      <c r="D1" s="279"/>
      <c r="E1" s="16"/>
      <c r="F1" s="16"/>
      <c r="G1" s="16"/>
      <c r="H1" s="16"/>
      <c r="I1" s="16"/>
      <c r="J1" s="16"/>
      <c r="K1" s="16"/>
      <c r="L1" s="16"/>
      <c r="M1" s="16"/>
    </row>
    <row r="2" spans="1:4" s="15" customFormat="1" ht="48.75" customHeight="1">
      <c r="A2" s="265" t="s">
        <v>359</v>
      </c>
      <c r="B2" s="268" t="s">
        <v>0</v>
      </c>
      <c r="C2" s="269"/>
      <c r="D2" s="265" t="s">
        <v>382</v>
      </c>
    </row>
    <row r="3" spans="1:4" s="15" customFormat="1" ht="47.25" customHeight="1">
      <c r="A3" s="266"/>
      <c r="B3" s="270"/>
      <c r="C3" s="271"/>
      <c r="D3" s="274"/>
    </row>
    <row r="4" spans="1:4" s="15" customFormat="1" ht="73.5" customHeight="1">
      <c r="A4" s="267"/>
      <c r="B4" s="272"/>
      <c r="C4" s="273"/>
      <c r="D4" s="275"/>
    </row>
    <row r="5" spans="1:4" ht="18.75">
      <c r="A5" s="276" t="s">
        <v>360</v>
      </c>
      <c r="B5" s="277"/>
      <c r="C5" s="277"/>
      <c r="D5" s="278"/>
    </row>
    <row r="6" spans="1:4" s="70" customFormat="1" ht="15.75">
      <c r="A6" s="73" t="s">
        <v>366</v>
      </c>
      <c r="B6" s="72" t="s">
        <v>385</v>
      </c>
      <c r="C6" s="71" t="s">
        <v>150</v>
      </c>
      <c r="D6" s="119">
        <v>-0.656</v>
      </c>
    </row>
    <row r="7" spans="1:4" s="70" customFormat="1" ht="15.75">
      <c r="A7" s="72" t="s">
        <v>369</v>
      </c>
      <c r="B7" s="72" t="s">
        <v>386</v>
      </c>
      <c r="C7" s="71" t="s">
        <v>152</v>
      </c>
      <c r="D7" s="119">
        <v>-6.074500000000001</v>
      </c>
    </row>
    <row r="8" spans="1:4" s="70" customFormat="1" ht="15.75">
      <c r="A8" s="72" t="s">
        <v>370</v>
      </c>
      <c r="B8" s="72" t="s">
        <v>387</v>
      </c>
      <c r="C8" s="71" t="s">
        <v>155</v>
      </c>
      <c r="D8" s="119">
        <v>-3.298</v>
      </c>
    </row>
    <row r="9" spans="1:4" s="70" customFormat="1" ht="15.75">
      <c r="A9" s="72" t="s">
        <v>371</v>
      </c>
      <c r="B9" s="72" t="s">
        <v>388</v>
      </c>
      <c r="C9" s="71" t="s">
        <v>155</v>
      </c>
      <c r="D9" s="119">
        <v>-3.899</v>
      </c>
    </row>
    <row r="10" spans="1:4" s="70" customFormat="1" ht="15.75">
      <c r="A10" s="72" t="s">
        <v>372</v>
      </c>
      <c r="B10" s="72" t="s">
        <v>108</v>
      </c>
      <c r="C10" s="71" t="s">
        <v>155</v>
      </c>
      <c r="D10" s="119">
        <v>-1.915</v>
      </c>
    </row>
    <row r="11" spans="1:4" s="70" customFormat="1" ht="15.75">
      <c r="A11" s="72" t="s">
        <v>373</v>
      </c>
      <c r="B11" s="72" t="s">
        <v>118</v>
      </c>
      <c r="C11" s="71" t="s">
        <v>151</v>
      </c>
      <c r="D11" s="119">
        <v>-0.2709999999999999</v>
      </c>
    </row>
    <row r="12" spans="1:4" s="70" customFormat="1" ht="15.75">
      <c r="A12" s="72" t="s">
        <v>379</v>
      </c>
      <c r="B12" s="72" t="s">
        <v>119</v>
      </c>
      <c r="C12" s="71" t="s">
        <v>156</v>
      </c>
      <c r="D12" s="119">
        <v>-0.945</v>
      </c>
    </row>
    <row r="13" spans="1:4" ht="15.75">
      <c r="A13" s="72" t="s">
        <v>380</v>
      </c>
      <c r="B13" s="72" t="s">
        <v>389</v>
      </c>
      <c r="C13" s="71" t="s">
        <v>151</v>
      </c>
      <c r="D13" s="119">
        <v>-1.892</v>
      </c>
    </row>
    <row r="14" spans="1:4" ht="15.75">
      <c r="A14" s="72" t="s">
        <v>381</v>
      </c>
      <c r="B14" s="72" t="s">
        <v>367</v>
      </c>
      <c r="C14" s="71" t="s">
        <v>323</v>
      </c>
      <c r="D14" s="119">
        <v>-7.17</v>
      </c>
    </row>
    <row r="15" spans="1:4" ht="15.75">
      <c r="A15" s="72" t="s">
        <v>396</v>
      </c>
      <c r="B15" s="72" t="s">
        <v>172</v>
      </c>
      <c r="C15" s="71" t="s">
        <v>317</v>
      </c>
      <c r="D15" s="119">
        <v>-3.226</v>
      </c>
    </row>
    <row r="16" spans="1:4" ht="15.75">
      <c r="A16" s="72" t="s">
        <v>403</v>
      </c>
      <c r="B16" s="72" t="s">
        <v>390</v>
      </c>
      <c r="C16" s="71" t="s">
        <v>324</v>
      </c>
      <c r="D16" s="119">
        <v>-6.572</v>
      </c>
    </row>
    <row r="17" spans="1:4" ht="15.75">
      <c r="A17" s="72" t="s">
        <v>407</v>
      </c>
      <c r="B17" s="72" t="s">
        <v>408</v>
      </c>
      <c r="C17" s="71" t="s">
        <v>409</v>
      </c>
      <c r="D17" s="119">
        <v>-0.64</v>
      </c>
    </row>
    <row r="18" spans="1:4" ht="19.5" customHeight="1">
      <c r="A18" s="74" t="s">
        <v>395</v>
      </c>
      <c r="B18" s="74"/>
      <c r="C18" s="74"/>
      <c r="D18" s="120">
        <f>SUM(D6:D17)</f>
        <v>-36.5585</v>
      </c>
    </row>
    <row r="20" ht="15">
      <c r="A20" s="75" t="s">
        <v>391</v>
      </c>
    </row>
    <row r="21" ht="15">
      <c r="A21" s="75" t="s">
        <v>392</v>
      </c>
    </row>
    <row r="22" ht="15">
      <c r="A22" s="75" t="s">
        <v>393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90" zoomScaleSheetLayoutView="90" zoomScalePageLayoutView="0" workbookViewId="0" topLeftCell="A358">
      <selection activeCell="P86" sqref="P86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55" customWidth="1"/>
    <col min="4" max="4" width="12.00390625" style="64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1" width="12.28125" style="9" customWidth="1"/>
    <col min="12" max="12" width="13.7109375" style="57" bestFit="1" customWidth="1"/>
  </cols>
  <sheetData>
    <row r="1" spans="1:11" ht="15">
      <c r="A1" s="4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34.5" customHeight="1">
      <c r="A2" s="4"/>
      <c r="B2" s="298" t="s">
        <v>383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2" ht="15">
      <c r="A3" s="5"/>
      <c r="B3" s="6"/>
      <c r="C3" s="53"/>
      <c r="D3" s="58"/>
      <c r="E3" s="5"/>
      <c r="F3" s="5"/>
      <c r="G3" s="6"/>
      <c r="H3" s="6"/>
      <c r="I3" s="5"/>
      <c r="J3" s="299" t="s">
        <v>14</v>
      </c>
      <c r="K3" s="299"/>
      <c r="L3" s="19"/>
    </row>
    <row r="4" spans="1:12" ht="15" customHeight="1">
      <c r="A4" s="300" t="s">
        <v>13</v>
      </c>
      <c r="B4" s="297" t="s">
        <v>0</v>
      </c>
      <c r="C4" s="301" t="s">
        <v>1</v>
      </c>
      <c r="D4" s="301"/>
      <c r="E4" s="301"/>
      <c r="F4" s="301"/>
      <c r="G4" s="301"/>
      <c r="H4" s="301"/>
      <c r="I4" s="301"/>
      <c r="J4" s="301"/>
      <c r="K4" s="301"/>
      <c r="L4" s="293" t="s">
        <v>361</v>
      </c>
    </row>
    <row r="5" spans="1:12" ht="76.5" customHeight="1">
      <c r="A5" s="300"/>
      <c r="B5" s="297"/>
      <c r="C5" s="294" t="s">
        <v>8</v>
      </c>
      <c r="D5" s="295" t="s">
        <v>9</v>
      </c>
      <c r="E5" s="297" t="s">
        <v>7</v>
      </c>
      <c r="F5" s="297"/>
      <c r="G5" s="297" t="s">
        <v>2</v>
      </c>
      <c r="H5" s="297" t="s">
        <v>10</v>
      </c>
      <c r="I5" s="297" t="s">
        <v>5</v>
      </c>
      <c r="J5" s="297" t="s">
        <v>347</v>
      </c>
      <c r="K5" s="297"/>
      <c r="L5" s="293"/>
    </row>
    <row r="6" spans="1:12" ht="97.5" customHeight="1">
      <c r="A6" s="300"/>
      <c r="B6" s="297"/>
      <c r="C6" s="294"/>
      <c r="D6" s="296"/>
      <c r="E6" s="10" t="s">
        <v>3</v>
      </c>
      <c r="F6" s="10" t="s">
        <v>6</v>
      </c>
      <c r="G6" s="297"/>
      <c r="H6" s="297"/>
      <c r="I6" s="297"/>
      <c r="J6" s="297"/>
      <c r="K6" s="297"/>
      <c r="L6" s="293"/>
    </row>
    <row r="7" spans="1:12" ht="15">
      <c r="A7" s="95">
        <v>1</v>
      </c>
      <c r="B7" s="95">
        <v>2</v>
      </c>
      <c r="C7" s="96">
        <v>3</v>
      </c>
      <c r="D7" s="96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21">
        <v>12</v>
      </c>
    </row>
    <row r="8" spans="1:12" ht="15" customHeight="1">
      <c r="A8" s="290" t="s">
        <v>346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</row>
    <row r="9" spans="1:12" ht="15">
      <c r="A9" s="291">
        <v>1</v>
      </c>
      <c r="B9" s="98" t="s">
        <v>16</v>
      </c>
      <c r="C9" s="99" t="s">
        <v>147</v>
      </c>
      <c r="D9" s="17">
        <f>D10+D11</f>
        <v>1.81</v>
      </c>
      <c r="E9" s="13">
        <v>6.3</v>
      </c>
      <c r="F9" s="97" t="s">
        <v>4</v>
      </c>
      <c r="G9" s="100">
        <f>E9</f>
        <v>6.3</v>
      </c>
      <c r="H9" s="97">
        <v>0</v>
      </c>
      <c r="I9" s="100">
        <f>G9-H9</f>
        <v>6.3</v>
      </c>
      <c r="J9" s="100">
        <f aca="true" t="shared" si="0" ref="J9:J66">I9-D9</f>
        <v>4.49</v>
      </c>
      <c r="K9" s="292">
        <f>MIN(J9:J11)</f>
        <v>1.0799999999999998</v>
      </c>
      <c r="L9" s="282" t="s">
        <v>362</v>
      </c>
    </row>
    <row r="10" spans="1:12" ht="15">
      <c r="A10" s="284"/>
      <c r="B10" s="84" t="s">
        <v>348</v>
      </c>
      <c r="C10" s="49">
        <v>6.3</v>
      </c>
      <c r="D10" s="17">
        <v>1.22</v>
      </c>
      <c r="E10" s="13">
        <v>2.3</v>
      </c>
      <c r="F10" s="48" t="s">
        <v>4</v>
      </c>
      <c r="G10" s="50">
        <f aca="true" t="shared" si="1" ref="G10:G67">E10</f>
        <v>2.3</v>
      </c>
      <c r="H10" s="48">
        <v>0</v>
      </c>
      <c r="I10" s="17">
        <f aca="true" t="shared" si="2" ref="I10:I67">G10-H10</f>
        <v>2.3</v>
      </c>
      <c r="J10" s="17">
        <f t="shared" si="0"/>
        <v>1.0799999999999998</v>
      </c>
      <c r="K10" s="285"/>
      <c r="L10" s="282"/>
    </row>
    <row r="11" spans="1:12" ht="15">
      <c r="A11" s="284"/>
      <c r="B11" s="84" t="s">
        <v>349</v>
      </c>
      <c r="C11" s="49">
        <v>6.3</v>
      </c>
      <c r="D11" s="17">
        <v>0.59</v>
      </c>
      <c r="E11" s="13">
        <v>4</v>
      </c>
      <c r="F11" s="48" t="s">
        <v>4</v>
      </c>
      <c r="G11" s="50">
        <f t="shared" si="1"/>
        <v>4</v>
      </c>
      <c r="H11" s="48">
        <v>0</v>
      </c>
      <c r="I11" s="17">
        <f t="shared" si="2"/>
        <v>4</v>
      </c>
      <c r="J11" s="17">
        <f t="shared" si="0"/>
        <v>3.41</v>
      </c>
      <c r="K11" s="285"/>
      <c r="L11" s="282"/>
    </row>
    <row r="12" spans="1:12" ht="15">
      <c r="A12" s="14">
        <v>2</v>
      </c>
      <c r="B12" s="79" t="s">
        <v>17</v>
      </c>
      <c r="C12" s="49" t="s">
        <v>147</v>
      </c>
      <c r="D12" s="17">
        <v>0.33</v>
      </c>
      <c r="E12" s="17">
        <v>2.15</v>
      </c>
      <c r="F12" s="14" t="s">
        <v>4</v>
      </c>
      <c r="G12" s="25">
        <f t="shared" si="1"/>
        <v>2.15</v>
      </c>
      <c r="H12" s="14">
        <v>0</v>
      </c>
      <c r="I12" s="13">
        <f t="shared" si="2"/>
        <v>2.15</v>
      </c>
      <c r="J12" s="13">
        <f t="shared" si="0"/>
        <v>1.8199999999999998</v>
      </c>
      <c r="K12" s="13">
        <f>J12</f>
        <v>1.8199999999999998</v>
      </c>
      <c r="L12" s="23" t="s">
        <v>362</v>
      </c>
    </row>
    <row r="13" spans="1:12" ht="15">
      <c r="A13" s="280">
        <v>3</v>
      </c>
      <c r="B13" s="79" t="s">
        <v>18</v>
      </c>
      <c r="C13" s="49" t="s">
        <v>147</v>
      </c>
      <c r="D13" s="17">
        <f>D14+D15</f>
        <v>3.34</v>
      </c>
      <c r="E13" s="17">
        <v>6.8</v>
      </c>
      <c r="F13" s="14" t="s">
        <v>4</v>
      </c>
      <c r="G13" s="25">
        <f t="shared" si="1"/>
        <v>6.8</v>
      </c>
      <c r="H13" s="14">
        <v>0</v>
      </c>
      <c r="I13" s="13">
        <f t="shared" si="2"/>
        <v>6.8</v>
      </c>
      <c r="J13" s="13">
        <f t="shared" si="0"/>
        <v>3.46</v>
      </c>
      <c r="K13" s="281">
        <f>MIN(J13:J15)</f>
        <v>0.52</v>
      </c>
      <c r="L13" s="282" t="s">
        <v>362</v>
      </c>
    </row>
    <row r="14" spans="1:12" ht="15">
      <c r="A14" s="280"/>
      <c r="B14" s="79" t="s">
        <v>348</v>
      </c>
      <c r="C14" s="49">
        <v>6.3</v>
      </c>
      <c r="D14" s="17">
        <v>0.56</v>
      </c>
      <c r="E14" s="17">
        <v>3.5</v>
      </c>
      <c r="F14" s="14" t="s">
        <v>4</v>
      </c>
      <c r="G14" s="25">
        <f t="shared" si="1"/>
        <v>3.5</v>
      </c>
      <c r="H14" s="14">
        <v>0</v>
      </c>
      <c r="I14" s="13">
        <f t="shared" si="2"/>
        <v>3.5</v>
      </c>
      <c r="J14" s="13">
        <f t="shared" si="0"/>
        <v>2.94</v>
      </c>
      <c r="K14" s="281"/>
      <c r="L14" s="282"/>
    </row>
    <row r="15" spans="1:12" ht="15">
      <c r="A15" s="280"/>
      <c r="B15" s="79" t="s">
        <v>349</v>
      </c>
      <c r="C15" s="49">
        <v>6.3</v>
      </c>
      <c r="D15" s="17">
        <v>2.78</v>
      </c>
      <c r="E15" s="17">
        <v>3.3</v>
      </c>
      <c r="F15" s="14" t="s">
        <v>4</v>
      </c>
      <c r="G15" s="25">
        <f t="shared" si="1"/>
        <v>3.3</v>
      </c>
      <c r="H15" s="14">
        <v>0</v>
      </c>
      <c r="I15" s="13">
        <f t="shared" si="2"/>
        <v>3.3</v>
      </c>
      <c r="J15" s="13">
        <f>I15-D15</f>
        <v>0.52</v>
      </c>
      <c r="K15" s="281"/>
      <c r="L15" s="282"/>
    </row>
    <row r="16" spans="1:12" ht="15">
      <c r="A16" s="14">
        <v>4</v>
      </c>
      <c r="B16" s="79" t="s">
        <v>19</v>
      </c>
      <c r="C16" s="49" t="s">
        <v>148</v>
      </c>
      <c r="D16" s="17">
        <v>0.6</v>
      </c>
      <c r="E16" s="13">
        <v>2.5</v>
      </c>
      <c r="F16" s="14" t="s">
        <v>4</v>
      </c>
      <c r="G16" s="25">
        <f t="shared" si="1"/>
        <v>2.5</v>
      </c>
      <c r="H16" s="14">
        <v>0</v>
      </c>
      <c r="I16" s="13">
        <f t="shared" si="2"/>
        <v>2.5</v>
      </c>
      <c r="J16" s="13">
        <f t="shared" si="0"/>
        <v>1.9</v>
      </c>
      <c r="K16" s="13">
        <f>J16</f>
        <v>1.9</v>
      </c>
      <c r="L16" s="23" t="s">
        <v>362</v>
      </c>
    </row>
    <row r="17" spans="1:12" ht="15">
      <c r="A17" s="280">
        <v>5</v>
      </c>
      <c r="B17" s="79" t="s">
        <v>20</v>
      </c>
      <c r="C17" s="49" t="s">
        <v>147</v>
      </c>
      <c r="D17" s="17">
        <f>D18+D19</f>
        <v>0.91</v>
      </c>
      <c r="E17" s="13">
        <v>6</v>
      </c>
      <c r="F17" s="14" t="s">
        <v>4</v>
      </c>
      <c r="G17" s="25">
        <f t="shared" si="1"/>
        <v>6</v>
      </c>
      <c r="H17" s="14">
        <v>0</v>
      </c>
      <c r="I17" s="13">
        <f t="shared" si="2"/>
        <v>6</v>
      </c>
      <c r="J17" s="13">
        <f t="shared" si="0"/>
        <v>5.09</v>
      </c>
      <c r="K17" s="281">
        <f>MIN(J17:J19)</f>
        <v>1.3899999999999997</v>
      </c>
      <c r="L17" s="282" t="s">
        <v>362</v>
      </c>
    </row>
    <row r="18" spans="1:12" ht="15">
      <c r="A18" s="280"/>
      <c r="B18" s="79" t="s">
        <v>348</v>
      </c>
      <c r="C18" s="49">
        <v>6.3</v>
      </c>
      <c r="D18" s="17">
        <v>0</v>
      </c>
      <c r="E18" s="13">
        <v>3.7</v>
      </c>
      <c r="F18" s="14" t="s">
        <v>4</v>
      </c>
      <c r="G18" s="25">
        <f t="shared" si="1"/>
        <v>3.7</v>
      </c>
      <c r="H18" s="14">
        <v>0</v>
      </c>
      <c r="I18" s="13">
        <f t="shared" si="2"/>
        <v>3.7</v>
      </c>
      <c r="J18" s="13">
        <f t="shared" si="0"/>
        <v>3.7</v>
      </c>
      <c r="K18" s="281"/>
      <c r="L18" s="282"/>
    </row>
    <row r="19" spans="1:12" ht="15">
      <c r="A19" s="280"/>
      <c r="B19" s="79" t="s">
        <v>349</v>
      </c>
      <c r="C19" s="49">
        <v>6.3</v>
      </c>
      <c r="D19" s="17">
        <v>0.91</v>
      </c>
      <c r="E19" s="13">
        <v>2.3</v>
      </c>
      <c r="F19" s="14" t="s">
        <v>4</v>
      </c>
      <c r="G19" s="25">
        <f t="shared" si="1"/>
        <v>2.3</v>
      </c>
      <c r="H19" s="14">
        <v>0</v>
      </c>
      <c r="I19" s="13">
        <f t="shared" si="2"/>
        <v>2.3</v>
      </c>
      <c r="J19" s="13">
        <f t="shared" si="0"/>
        <v>1.3899999999999997</v>
      </c>
      <c r="K19" s="281"/>
      <c r="L19" s="282"/>
    </row>
    <row r="20" spans="1:12" ht="15">
      <c r="A20" s="14">
        <v>6</v>
      </c>
      <c r="B20" s="79" t="s">
        <v>21</v>
      </c>
      <c r="C20" s="49" t="s">
        <v>149</v>
      </c>
      <c r="D20" s="17">
        <v>0.3</v>
      </c>
      <c r="E20" s="13">
        <v>2.15</v>
      </c>
      <c r="F20" s="14" t="s">
        <v>4</v>
      </c>
      <c r="G20" s="25">
        <f t="shared" si="1"/>
        <v>2.15</v>
      </c>
      <c r="H20" s="14">
        <v>0</v>
      </c>
      <c r="I20" s="13">
        <f t="shared" si="2"/>
        <v>2.15</v>
      </c>
      <c r="J20" s="13">
        <f t="shared" si="0"/>
        <v>1.8499999999999999</v>
      </c>
      <c r="K20" s="13">
        <f>J20</f>
        <v>1.8499999999999999</v>
      </c>
      <c r="L20" s="23" t="s">
        <v>362</v>
      </c>
    </row>
    <row r="21" spans="1:12" ht="15">
      <c r="A21" s="14">
        <v>7</v>
      </c>
      <c r="B21" s="79" t="s">
        <v>22</v>
      </c>
      <c r="C21" s="49" t="s">
        <v>147</v>
      </c>
      <c r="D21" s="17">
        <v>0.62</v>
      </c>
      <c r="E21" s="13">
        <v>0.67</v>
      </c>
      <c r="F21" s="14" t="s">
        <v>4</v>
      </c>
      <c r="G21" s="25">
        <f t="shared" si="1"/>
        <v>0.67</v>
      </c>
      <c r="H21" s="14">
        <v>0</v>
      </c>
      <c r="I21" s="13">
        <f t="shared" si="2"/>
        <v>0.67</v>
      </c>
      <c r="J21" s="13">
        <f t="shared" si="0"/>
        <v>0.050000000000000044</v>
      </c>
      <c r="K21" s="13">
        <f>J21</f>
        <v>0.050000000000000044</v>
      </c>
      <c r="L21" s="23" t="s">
        <v>362</v>
      </c>
    </row>
    <row r="22" spans="1:12" ht="15">
      <c r="A22" s="280">
        <v>8</v>
      </c>
      <c r="B22" s="79" t="s">
        <v>23</v>
      </c>
      <c r="C22" s="49" t="s">
        <v>148</v>
      </c>
      <c r="D22" s="17">
        <f>D23+D24</f>
        <v>1.4</v>
      </c>
      <c r="E22" s="13">
        <v>5.13</v>
      </c>
      <c r="F22" s="14" t="s">
        <v>4</v>
      </c>
      <c r="G22" s="25">
        <f t="shared" si="1"/>
        <v>5.13</v>
      </c>
      <c r="H22" s="14">
        <v>0</v>
      </c>
      <c r="I22" s="13">
        <f t="shared" si="2"/>
        <v>5.13</v>
      </c>
      <c r="J22" s="13">
        <f t="shared" si="0"/>
        <v>3.73</v>
      </c>
      <c r="K22" s="281">
        <f>MIN(J22:J24)</f>
        <v>1.13</v>
      </c>
      <c r="L22" s="282" t="s">
        <v>362</v>
      </c>
    </row>
    <row r="23" spans="1:12" ht="15">
      <c r="A23" s="280"/>
      <c r="B23" s="79" t="s">
        <v>348</v>
      </c>
      <c r="C23" s="49">
        <v>10</v>
      </c>
      <c r="D23" s="17">
        <v>1</v>
      </c>
      <c r="E23" s="13">
        <v>3.6</v>
      </c>
      <c r="F23" s="14" t="s">
        <v>4</v>
      </c>
      <c r="G23" s="25">
        <f t="shared" si="1"/>
        <v>3.6</v>
      </c>
      <c r="H23" s="14">
        <v>0</v>
      </c>
      <c r="I23" s="13">
        <f t="shared" si="2"/>
        <v>3.6</v>
      </c>
      <c r="J23" s="13">
        <f t="shared" si="0"/>
        <v>2.6</v>
      </c>
      <c r="K23" s="281"/>
      <c r="L23" s="282"/>
    </row>
    <row r="24" spans="1:12" ht="15">
      <c r="A24" s="280"/>
      <c r="B24" s="79" t="s">
        <v>349</v>
      </c>
      <c r="C24" s="49">
        <v>10</v>
      </c>
      <c r="D24" s="17">
        <v>0.4</v>
      </c>
      <c r="E24" s="13">
        <v>1.53</v>
      </c>
      <c r="F24" s="14" t="s">
        <v>4</v>
      </c>
      <c r="G24" s="25">
        <f t="shared" si="1"/>
        <v>1.53</v>
      </c>
      <c r="H24" s="14">
        <v>0</v>
      </c>
      <c r="I24" s="13">
        <f t="shared" si="2"/>
        <v>1.53</v>
      </c>
      <c r="J24" s="13">
        <f t="shared" si="0"/>
        <v>1.13</v>
      </c>
      <c r="K24" s="281"/>
      <c r="L24" s="282"/>
    </row>
    <row r="25" spans="1:12" ht="15">
      <c r="A25" s="14">
        <v>9</v>
      </c>
      <c r="B25" s="79" t="s">
        <v>25</v>
      </c>
      <c r="C25" s="49" t="s">
        <v>148</v>
      </c>
      <c r="D25" s="17">
        <v>1.2</v>
      </c>
      <c r="E25" s="13">
        <v>1.4</v>
      </c>
      <c r="F25" s="14" t="s">
        <v>4</v>
      </c>
      <c r="G25" s="25">
        <f t="shared" si="1"/>
        <v>1.4</v>
      </c>
      <c r="H25" s="14">
        <v>0</v>
      </c>
      <c r="I25" s="13">
        <f t="shared" si="2"/>
        <v>1.4</v>
      </c>
      <c r="J25" s="13">
        <f t="shared" si="0"/>
        <v>0.19999999999999996</v>
      </c>
      <c r="K25" s="13">
        <f>J25</f>
        <v>0.19999999999999996</v>
      </c>
      <c r="L25" s="23" t="s">
        <v>362</v>
      </c>
    </row>
    <row r="26" spans="1:12" ht="15">
      <c r="A26" s="14">
        <v>10</v>
      </c>
      <c r="B26" s="84" t="s">
        <v>364</v>
      </c>
      <c r="C26" s="49" t="s">
        <v>149</v>
      </c>
      <c r="D26" s="17">
        <v>1.65</v>
      </c>
      <c r="E26" s="13">
        <v>1.92</v>
      </c>
      <c r="F26" s="14" t="s">
        <v>4</v>
      </c>
      <c r="G26" s="25">
        <f t="shared" si="1"/>
        <v>1.92</v>
      </c>
      <c r="H26" s="14">
        <v>0</v>
      </c>
      <c r="I26" s="13">
        <f t="shared" si="2"/>
        <v>1.92</v>
      </c>
      <c r="J26" s="13">
        <f t="shared" si="0"/>
        <v>0.27</v>
      </c>
      <c r="K26" s="13">
        <f>MIN(J26:J26)</f>
        <v>0.27</v>
      </c>
      <c r="L26" s="23" t="s">
        <v>362</v>
      </c>
    </row>
    <row r="27" spans="1:12" s="101" customFormat="1" ht="15">
      <c r="A27" s="48">
        <v>11</v>
      </c>
      <c r="B27" s="84" t="s">
        <v>28</v>
      </c>
      <c r="C27" s="49" t="s">
        <v>151</v>
      </c>
      <c r="D27" s="59">
        <v>0.03</v>
      </c>
      <c r="E27" s="13">
        <v>1.4</v>
      </c>
      <c r="F27" s="48" t="s">
        <v>4</v>
      </c>
      <c r="G27" s="50">
        <f t="shared" si="1"/>
        <v>1.4</v>
      </c>
      <c r="H27" s="48">
        <v>0</v>
      </c>
      <c r="I27" s="17">
        <f t="shared" si="2"/>
        <v>1.4</v>
      </c>
      <c r="J27" s="17">
        <f t="shared" si="0"/>
        <v>1.3699999999999999</v>
      </c>
      <c r="K27" s="17">
        <f>J27</f>
        <v>1.3699999999999999</v>
      </c>
      <c r="L27" s="23" t="s">
        <v>362</v>
      </c>
    </row>
    <row r="28" spans="1:12" s="101" customFormat="1" ht="15">
      <c r="A28" s="48">
        <v>12</v>
      </c>
      <c r="B28" s="84" t="s">
        <v>29</v>
      </c>
      <c r="C28" s="49" t="s">
        <v>152</v>
      </c>
      <c r="D28" s="17">
        <v>6.46</v>
      </c>
      <c r="E28" s="17">
        <v>6.64</v>
      </c>
      <c r="F28" s="48" t="s">
        <v>4</v>
      </c>
      <c r="G28" s="50">
        <f t="shared" si="1"/>
        <v>6.64</v>
      </c>
      <c r="H28" s="48">
        <v>0</v>
      </c>
      <c r="I28" s="17">
        <f t="shared" si="2"/>
        <v>6.64</v>
      </c>
      <c r="J28" s="17">
        <f t="shared" si="0"/>
        <v>0.17999999999999972</v>
      </c>
      <c r="K28" s="17">
        <f>J28</f>
        <v>0.17999999999999972</v>
      </c>
      <c r="L28" s="23" t="s">
        <v>362</v>
      </c>
    </row>
    <row r="29" spans="1:12" s="101" customFormat="1" ht="15">
      <c r="A29" s="284">
        <v>13</v>
      </c>
      <c r="B29" s="84" t="s">
        <v>30</v>
      </c>
      <c r="C29" s="49" t="s">
        <v>153</v>
      </c>
      <c r="D29" s="60">
        <f>D30+D31</f>
        <v>2.43</v>
      </c>
      <c r="E29" s="17">
        <v>7.5</v>
      </c>
      <c r="F29" s="48" t="s">
        <v>4</v>
      </c>
      <c r="G29" s="50">
        <f t="shared" si="1"/>
        <v>7.5</v>
      </c>
      <c r="H29" s="48">
        <v>0</v>
      </c>
      <c r="I29" s="17">
        <f t="shared" si="2"/>
        <v>7.5</v>
      </c>
      <c r="J29" s="17">
        <f t="shared" si="0"/>
        <v>5.07</v>
      </c>
      <c r="K29" s="285">
        <f>MIN(J29:J31)</f>
        <v>0.6400000000000001</v>
      </c>
      <c r="L29" s="282" t="s">
        <v>362</v>
      </c>
    </row>
    <row r="30" spans="1:12" s="101" customFormat="1" ht="15">
      <c r="A30" s="284"/>
      <c r="B30" s="84" t="s">
        <v>348</v>
      </c>
      <c r="C30" s="49">
        <v>10</v>
      </c>
      <c r="D30" s="60">
        <v>1.97</v>
      </c>
      <c r="E30" s="17">
        <v>6.4</v>
      </c>
      <c r="F30" s="48" t="s">
        <v>4</v>
      </c>
      <c r="G30" s="50">
        <f t="shared" si="1"/>
        <v>6.4</v>
      </c>
      <c r="H30" s="48">
        <v>0</v>
      </c>
      <c r="I30" s="17">
        <f t="shared" si="2"/>
        <v>6.4</v>
      </c>
      <c r="J30" s="17">
        <f t="shared" si="0"/>
        <v>4.430000000000001</v>
      </c>
      <c r="K30" s="285"/>
      <c r="L30" s="282"/>
    </row>
    <row r="31" spans="1:12" s="101" customFormat="1" ht="15">
      <c r="A31" s="284"/>
      <c r="B31" s="84" t="s">
        <v>349</v>
      </c>
      <c r="C31" s="49">
        <v>10</v>
      </c>
      <c r="D31" s="60">
        <v>0.46</v>
      </c>
      <c r="E31" s="17">
        <v>1.1</v>
      </c>
      <c r="F31" s="48" t="s">
        <v>4</v>
      </c>
      <c r="G31" s="50">
        <f t="shared" si="1"/>
        <v>1.1</v>
      </c>
      <c r="H31" s="48">
        <v>0</v>
      </c>
      <c r="I31" s="17">
        <f t="shared" si="2"/>
        <v>1.1</v>
      </c>
      <c r="J31" s="17">
        <f t="shared" si="0"/>
        <v>0.6400000000000001</v>
      </c>
      <c r="K31" s="285"/>
      <c r="L31" s="282"/>
    </row>
    <row r="32" spans="1:12" s="101" customFormat="1" ht="15">
      <c r="A32" s="48">
        <v>14</v>
      </c>
      <c r="B32" s="84" t="s">
        <v>31</v>
      </c>
      <c r="C32" s="49" t="s">
        <v>151</v>
      </c>
      <c r="D32" s="17">
        <v>0.53</v>
      </c>
      <c r="E32" s="13">
        <v>0.8</v>
      </c>
      <c r="F32" s="48" t="s">
        <v>4</v>
      </c>
      <c r="G32" s="50">
        <f t="shared" si="1"/>
        <v>0.8</v>
      </c>
      <c r="H32" s="48">
        <v>0</v>
      </c>
      <c r="I32" s="17">
        <f t="shared" si="2"/>
        <v>0.8</v>
      </c>
      <c r="J32" s="17">
        <f t="shared" si="0"/>
        <v>0.27</v>
      </c>
      <c r="K32" s="17">
        <f>J32</f>
        <v>0.27</v>
      </c>
      <c r="L32" s="23" t="s">
        <v>362</v>
      </c>
    </row>
    <row r="33" spans="1:12" s="101" customFormat="1" ht="15">
      <c r="A33" s="48">
        <v>15</v>
      </c>
      <c r="B33" s="84" t="s">
        <v>32</v>
      </c>
      <c r="C33" s="49" t="s">
        <v>154</v>
      </c>
      <c r="D33" s="17">
        <v>0.5</v>
      </c>
      <c r="E33" s="13">
        <v>0.95</v>
      </c>
      <c r="F33" s="48" t="s">
        <v>4</v>
      </c>
      <c r="G33" s="50">
        <f t="shared" si="1"/>
        <v>0.95</v>
      </c>
      <c r="H33" s="48">
        <v>0</v>
      </c>
      <c r="I33" s="17">
        <f t="shared" si="2"/>
        <v>0.95</v>
      </c>
      <c r="J33" s="17">
        <f t="shared" si="0"/>
        <v>0.44999999999999996</v>
      </c>
      <c r="K33" s="17">
        <f aca="true" t="shared" si="3" ref="K33:K96">J33</f>
        <v>0.44999999999999996</v>
      </c>
      <c r="L33" s="23" t="s">
        <v>362</v>
      </c>
    </row>
    <row r="34" spans="1:12" s="101" customFormat="1" ht="15">
      <c r="A34" s="48">
        <v>16</v>
      </c>
      <c r="B34" s="84" t="s">
        <v>33</v>
      </c>
      <c r="C34" s="49" t="s">
        <v>151</v>
      </c>
      <c r="D34" s="17">
        <v>0.23</v>
      </c>
      <c r="E34" s="13">
        <v>0.68</v>
      </c>
      <c r="F34" s="48" t="s">
        <v>4</v>
      </c>
      <c r="G34" s="50">
        <f t="shared" si="1"/>
        <v>0.68</v>
      </c>
      <c r="H34" s="48">
        <v>0</v>
      </c>
      <c r="I34" s="17">
        <f t="shared" si="2"/>
        <v>0.68</v>
      </c>
      <c r="J34" s="17">
        <f t="shared" si="0"/>
        <v>0.45000000000000007</v>
      </c>
      <c r="K34" s="17">
        <f t="shared" si="3"/>
        <v>0.45000000000000007</v>
      </c>
      <c r="L34" s="23" t="s">
        <v>362</v>
      </c>
    </row>
    <row r="35" spans="1:12" s="101" customFormat="1" ht="15">
      <c r="A35" s="48">
        <v>17</v>
      </c>
      <c r="B35" s="84" t="s">
        <v>34</v>
      </c>
      <c r="C35" s="49" t="s">
        <v>151</v>
      </c>
      <c r="D35" s="17">
        <v>0.24</v>
      </c>
      <c r="E35" s="13">
        <v>1.43</v>
      </c>
      <c r="F35" s="48" t="s">
        <v>4</v>
      </c>
      <c r="G35" s="50">
        <f t="shared" si="1"/>
        <v>1.43</v>
      </c>
      <c r="H35" s="48">
        <v>0</v>
      </c>
      <c r="I35" s="17">
        <f t="shared" si="2"/>
        <v>1.43</v>
      </c>
      <c r="J35" s="17">
        <f t="shared" si="0"/>
        <v>1.19</v>
      </c>
      <c r="K35" s="17">
        <f t="shared" si="3"/>
        <v>1.19</v>
      </c>
      <c r="L35" s="23" t="s">
        <v>362</v>
      </c>
    </row>
    <row r="36" spans="1:12" s="101" customFormat="1" ht="15">
      <c r="A36" s="48">
        <v>18</v>
      </c>
      <c r="B36" s="84" t="s">
        <v>35</v>
      </c>
      <c r="C36" s="49" t="s">
        <v>155</v>
      </c>
      <c r="D36" s="17">
        <v>0.56</v>
      </c>
      <c r="E36" s="13">
        <v>1.34</v>
      </c>
      <c r="F36" s="48" t="s">
        <v>4</v>
      </c>
      <c r="G36" s="50">
        <f t="shared" si="1"/>
        <v>1.34</v>
      </c>
      <c r="H36" s="48">
        <v>0</v>
      </c>
      <c r="I36" s="17">
        <f t="shared" si="2"/>
        <v>1.34</v>
      </c>
      <c r="J36" s="17">
        <f t="shared" si="0"/>
        <v>0.78</v>
      </c>
      <c r="K36" s="17">
        <f t="shared" si="3"/>
        <v>0.78</v>
      </c>
      <c r="L36" s="23" t="s">
        <v>362</v>
      </c>
    </row>
    <row r="37" spans="1:12" s="101" customFormat="1" ht="15">
      <c r="A37" s="48">
        <v>19</v>
      </c>
      <c r="B37" s="84" t="s">
        <v>36</v>
      </c>
      <c r="C37" s="49" t="s">
        <v>151</v>
      </c>
      <c r="D37" s="17">
        <v>0.79</v>
      </c>
      <c r="E37" s="13">
        <v>0.96</v>
      </c>
      <c r="F37" s="48" t="s">
        <v>4</v>
      </c>
      <c r="G37" s="50">
        <f t="shared" si="1"/>
        <v>0.96</v>
      </c>
      <c r="H37" s="48">
        <v>0</v>
      </c>
      <c r="I37" s="17">
        <f t="shared" si="2"/>
        <v>0.96</v>
      </c>
      <c r="J37" s="17">
        <f t="shared" si="0"/>
        <v>0.16999999999999993</v>
      </c>
      <c r="K37" s="17">
        <f t="shared" si="3"/>
        <v>0.16999999999999993</v>
      </c>
      <c r="L37" s="23" t="s">
        <v>362</v>
      </c>
    </row>
    <row r="38" spans="1:12" s="101" customFormat="1" ht="15">
      <c r="A38" s="48">
        <v>20</v>
      </c>
      <c r="B38" s="84" t="s">
        <v>38</v>
      </c>
      <c r="C38" s="49" t="s">
        <v>157</v>
      </c>
      <c r="D38" s="17">
        <v>0.83</v>
      </c>
      <c r="E38" s="13">
        <v>2.83</v>
      </c>
      <c r="F38" s="48" t="s">
        <v>4</v>
      </c>
      <c r="G38" s="50">
        <f t="shared" si="1"/>
        <v>2.83</v>
      </c>
      <c r="H38" s="48">
        <v>0</v>
      </c>
      <c r="I38" s="17">
        <f t="shared" si="2"/>
        <v>2.83</v>
      </c>
      <c r="J38" s="17">
        <f t="shared" si="0"/>
        <v>2</v>
      </c>
      <c r="K38" s="17">
        <f t="shared" si="3"/>
        <v>2</v>
      </c>
      <c r="L38" s="23" t="s">
        <v>362</v>
      </c>
    </row>
    <row r="39" spans="1:12" s="101" customFormat="1" ht="15">
      <c r="A39" s="48">
        <v>21</v>
      </c>
      <c r="B39" s="84" t="s">
        <v>39</v>
      </c>
      <c r="C39" s="49" t="s">
        <v>156</v>
      </c>
      <c r="D39" s="17">
        <v>0.36</v>
      </c>
      <c r="E39" s="13">
        <v>0.64</v>
      </c>
      <c r="F39" s="48" t="s">
        <v>4</v>
      </c>
      <c r="G39" s="50">
        <f t="shared" si="1"/>
        <v>0.64</v>
      </c>
      <c r="H39" s="48">
        <v>0</v>
      </c>
      <c r="I39" s="17">
        <f t="shared" si="2"/>
        <v>0.64</v>
      </c>
      <c r="J39" s="17">
        <f t="shared" si="0"/>
        <v>0.28</v>
      </c>
      <c r="K39" s="17">
        <f t="shared" si="3"/>
        <v>0.28</v>
      </c>
      <c r="L39" s="23" t="s">
        <v>362</v>
      </c>
    </row>
    <row r="40" spans="1:12" s="101" customFormat="1" ht="15">
      <c r="A40" s="48">
        <v>22</v>
      </c>
      <c r="B40" s="84" t="s">
        <v>40</v>
      </c>
      <c r="C40" s="49" t="s">
        <v>155</v>
      </c>
      <c r="D40" s="17">
        <v>0.46</v>
      </c>
      <c r="E40" s="13">
        <v>1.43</v>
      </c>
      <c r="F40" s="48" t="s">
        <v>4</v>
      </c>
      <c r="G40" s="50">
        <f t="shared" si="1"/>
        <v>1.43</v>
      </c>
      <c r="H40" s="48">
        <v>0</v>
      </c>
      <c r="I40" s="17">
        <f t="shared" si="2"/>
        <v>1.43</v>
      </c>
      <c r="J40" s="17">
        <f t="shared" si="0"/>
        <v>0.97</v>
      </c>
      <c r="K40" s="17">
        <f t="shared" si="3"/>
        <v>0.97</v>
      </c>
      <c r="L40" s="23" t="s">
        <v>362</v>
      </c>
    </row>
    <row r="41" spans="1:12" s="101" customFormat="1" ht="15">
      <c r="A41" s="48">
        <v>23</v>
      </c>
      <c r="B41" s="84" t="s">
        <v>41</v>
      </c>
      <c r="C41" s="49" t="s">
        <v>151</v>
      </c>
      <c r="D41" s="17">
        <v>0.28</v>
      </c>
      <c r="E41" s="13">
        <v>2.15</v>
      </c>
      <c r="F41" s="48" t="s">
        <v>4</v>
      </c>
      <c r="G41" s="50">
        <f t="shared" si="1"/>
        <v>2.15</v>
      </c>
      <c r="H41" s="48">
        <v>0</v>
      </c>
      <c r="I41" s="17">
        <f t="shared" si="2"/>
        <v>2.15</v>
      </c>
      <c r="J41" s="17">
        <f t="shared" si="0"/>
        <v>1.8699999999999999</v>
      </c>
      <c r="K41" s="17">
        <f t="shared" si="3"/>
        <v>1.8699999999999999</v>
      </c>
      <c r="L41" s="23" t="s">
        <v>362</v>
      </c>
    </row>
    <row r="42" spans="1:12" s="101" customFormat="1" ht="15">
      <c r="A42" s="48">
        <v>24</v>
      </c>
      <c r="B42" s="84" t="s">
        <v>42</v>
      </c>
      <c r="C42" s="49" t="s">
        <v>155</v>
      </c>
      <c r="D42" s="17">
        <v>0.84</v>
      </c>
      <c r="E42" s="13">
        <v>1.76</v>
      </c>
      <c r="F42" s="48" t="s">
        <v>4</v>
      </c>
      <c r="G42" s="50">
        <f t="shared" si="1"/>
        <v>1.76</v>
      </c>
      <c r="H42" s="48">
        <v>0</v>
      </c>
      <c r="I42" s="17">
        <f t="shared" si="2"/>
        <v>1.76</v>
      </c>
      <c r="J42" s="17">
        <f t="shared" si="0"/>
        <v>0.92</v>
      </c>
      <c r="K42" s="17">
        <f t="shared" si="3"/>
        <v>0.92</v>
      </c>
      <c r="L42" s="23" t="s">
        <v>362</v>
      </c>
    </row>
    <row r="43" spans="1:12" s="101" customFormat="1" ht="15">
      <c r="A43" s="48">
        <v>25</v>
      </c>
      <c r="B43" s="84" t="s">
        <v>351</v>
      </c>
      <c r="C43" s="49" t="s">
        <v>352</v>
      </c>
      <c r="D43" s="17">
        <v>0.4</v>
      </c>
      <c r="E43" s="13">
        <v>0.76</v>
      </c>
      <c r="F43" s="48" t="s">
        <v>4</v>
      </c>
      <c r="G43" s="50">
        <f t="shared" si="1"/>
        <v>0.76</v>
      </c>
      <c r="H43" s="48">
        <v>0</v>
      </c>
      <c r="I43" s="17">
        <f t="shared" si="2"/>
        <v>0.76</v>
      </c>
      <c r="J43" s="17">
        <f t="shared" si="0"/>
        <v>0.36</v>
      </c>
      <c r="K43" s="17">
        <f t="shared" si="3"/>
        <v>0.36</v>
      </c>
      <c r="L43" s="23" t="s">
        <v>362</v>
      </c>
    </row>
    <row r="44" spans="1:12" s="101" customFormat="1" ht="15">
      <c r="A44" s="48">
        <v>26</v>
      </c>
      <c r="B44" s="84" t="s">
        <v>43</v>
      </c>
      <c r="C44" s="49" t="s">
        <v>156</v>
      </c>
      <c r="D44" s="17">
        <v>0.26</v>
      </c>
      <c r="E44" s="13">
        <v>0.67</v>
      </c>
      <c r="F44" s="48" t="s">
        <v>4</v>
      </c>
      <c r="G44" s="50">
        <f t="shared" si="1"/>
        <v>0.67</v>
      </c>
      <c r="H44" s="48">
        <v>0</v>
      </c>
      <c r="I44" s="17">
        <f t="shared" si="2"/>
        <v>0.67</v>
      </c>
      <c r="J44" s="17">
        <f t="shared" si="0"/>
        <v>0.41000000000000003</v>
      </c>
      <c r="K44" s="17">
        <f t="shared" si="3"/>
        <v>0.41000000000000003</v>
      </c>
      <c r="L44" s="23" t="s">
        <v>362</v>
      </c>
    </row>
    <row r="45" spans="1:12" s="101" customFormat="1" ht="15">
      <c r="A45" s="48">
        <v>27</v>
      </c>
      <c r="B45" s="84" t="s">
        <v>44</v>
      </c>
      <c r="C45" s="49" t="s">
        <v>151</v>
      </c>
      <c r="D45" s="17">
        <v>0.4</v>
      </c>
      <c r="E45" s="13">
        <v>0.76</v>
      </c>
      <c r="F45" s="48" t="s">
        <v>4</v>
      </c>
      <c r="G45" s="50">
        <f t="shared" si="1"/>
        <v>0.76</v>
      </c>
      <c r="H45" s="48">
        <v>0</v>
      </c>
      <c r="I45" s="17">
        <f t="shared" si="2"/>
        <v>0.76</v>
      </c>
      <c r="J45" s="17">
        <f t="shared" si="0"/>
        <v>0.36</v>
      </c>
      <c r="K45" s="17">
        <f t="shared" si="3"/>
        <v>0.36</v>
      </c>
      <c r="L45" s="23" t="s">
        <v>362</v>
      </c>
    </row>
    <row r="46" spans="1:12" s="101" customFormat="1" ht="15">
      <c r="A46" s="48">
        <v>28</v>
      </c>
      <c r="B46" s="84" t="s">
        <v>45</v>
      </c>
      <c r="C46" s="49" t="s">
        <v>158</v>
      </c>
      <c r="D46" s="17">
        <v>0.22</v>
      </c>
      <c r="E46" s="13">
        <v>0.74</v>
      </c>
      <c r="F46" s="48" t="s">
        <v>4</v>
      </c>
      <c r="G46" s="50">
        <f t="shared" si="1"/>
        <v>0.74</v>
      </c>
      <c r="H46" s="48">
        <v>0</v>
      </c>
      <c r="I46" s="17">
        <f t="shared" si="2"/>
        <v>0.74</v>
      </c>
      <c r="J46" s="17">
        <f t="shared" si="0"/>
        <v>0.52</v>
      </c>
      <c r="K46" s="17">
        <f t="shared" si="3"/>
        <v>0.52</v>
      </c>
      <c r="L46" s="23" t="s">
        <v>362</v>
      </c>
    </row>
    <row r="47" spans="1:12" s="101" customFormat="1" ht="15">
      <c r="A47" s="48">
        <v>29</v>
      </c>
      <c r="B47" s="84" t="s">
        <v>46</v>
      </c>
      <c r="C47" s="49" t="s">
        <v>154</v>
      </c>
      <c r="D47" s="17">
        <v>0.66</v>
      </c>
      <c r="E47" s="13">
        <v>1.6</v>
      </c>
      <c r="F47" s="48">
        <v>50</v>
      </c>
      <c r="G47" s="50">
        <f t="shared" si="1"/>
        <v>1.6</v>
      </c>
      <c r="H47" s="48">
        <v>0</v>
      </c>
      <c r="I47" s="17">
        <f t="shared" si="2"/>
        <v>1.6</v>
      </c>
      <c r="J47" s="17">
        <f t="shared" si="0"/>
        <v>0.9400000000000001</v>
      </c>
      <c r="K47" s="17">
        <f t="shared" si="3"/>
        <v>0.9400000000000001</v>
      </c>
      <c r="L47" s="23" t="s">
        <v>362</v>
      </c>
    </row>
    <row r="48" spans="1:12" s="101" customFormat="1" ht="15">
      <c r="A48" s="48">
        <v>30</v>
      </c>
      <c r="B48" s="84" t="s">
        <v>47</v>
      </c>
      <c r="C48" s="49" t="s">
        <v>156</v>
      </c>
      <c r="D48" s="17">
        <v>0.22</v>
      </c>
      <c r="E48" s="13">
        <v>1</v>
      </c>
      <c r="F48" s="48" t="s">
        <v>4</v>
      </c>
      <c r="G48" s="50">
        <f t="shared" si="1"/>
        <v>1</v>
      </c>
      <c r="H48" s="48">
        <v>0</v>
      </c>
      <c r="I48" s="17">
        <f t="shared" si="2"/>
        <v>1</v>
      </c>
      <c r="J48" s="17">
        <f t="shared" si="0"/>
        <v>0.78</v>
      </c>
      <c r="K48" s="17">
        <f t="shared" si="3"/>
        <v>0.78</v>
      </c>
      <c r="L48" s="23" t="s">
        <v>362</v>
      </c>
    </row>
    <row r="49" spans="1:12" s="101" customFormat="1" ht="15">
      <c r="A49" s="48">
        <v>31</v>
      </c>
      <c r="B49" s="84" t="s">
        <v>48</v>
      </c>
      <c r="C49" s="49" t="s">
        <v>156</v>
      </c>
      <c r="D49" s="17">
        <v>0.28</v>
      </c>
      <c r="E49" s="13">
        <v>1.43</v>
      </c>
      <c r="F49" s="48" t="s">
        <v>4</v>
      </c>
      <c r="G49" s="50">
        <f t="shared" si="1"/>
        <v>1.43</v>
      </c>
      <c r="H49" s="48">
        <v>0</v>
      </c>
      <c r="I49" s="17">
        <f t="shared" si="2"/>
        <v>1.43</v>
      </c>
      <c r="J49" s="17">
        <f t="shared" si="0"/>
        <v>1.15</v>
      </c>
      <c r="K49" s="17">
        <f t="shared" si="3"/>
        <v>1.15</v>
      </c>
      <c r="L49" s="23" t="s">
        <v>362</v>
      </c>
    </row>
    <row r="50" spans="1:12" s="101" customFormat="1" ht="15">
      <c r="A50" s="48">
        <v>32</v>
      </c>
      <c r="B50" s="84" t="s">
        <v>49</v>
      </c>
      <c r="C50" s="49" t="s">
        <v>155</v>
      </c>
      <c r="D50" s="17">
        <v>0.89</v>
      </c>
      <c r="E50" s="17">
        <v>1.43</v>
      </c>
      <c r="F50" s="48" t="s">
        <v>4</v>
      </c>
      <c r="G50" s="50">
        <f t="shared" si="1"/>
        <v>1.43</v>
      </c>
      <c r="H50" s="48">
        <v>0</v>
      </c>
      <c r="I50" s="17">
        <f t="shared" si="2"/>
        <v>1.43</v>
      </c>
      <c r="J50" s="17">
        <f t="shared" si="0"/>
        <v>0.5399999999999999</v>
      </c>
      <c r="K50" s="17">
        <f t="shared" si="3"/>
        <v>0.5399999999999999</v>
      </c>
      <c r="L50" s="23" t="s">
        <v>362</v>
      </c>
    </row>
    <row r="51" spans="1:12" s="101" customFormat="1" ht="15">
      <c r="A51" s="48">
        <v>33</v>
      </c>
      <c r="B51" s="84" t="s">
        <v>50</v>
      </c>
      <c r="C51" s="49" t="s">
        <v>151</v>
      </c>
      <c r="D51" s="17">
        <v>0.11</v>
      </c>
      <c r="E51" s="13">
        <v>2.15</v>
      </c>
      <c r="F51" s="48" t="s">
        <v>4</v>
      </c>
      <c r="G51" s="50">
        <f t="shared" si="1"/>
        <v>2.15</v>
      </c>
      <c r="H51" s="48">
        <v>0</v>
      </c>
      <c r="I51" s="17">
        <f t="shared" si="2"/>
        <v>2.15</v>
      </c>
      <c r="J51" s="17">
        <f t="shared" si="0"/>
        <v>2.04</v>
      </c>
      <c r="K51" s="17">
        <f t="shared" si="3"/>
        <v>2.04</v>
      </c>
      <c r="L51" s="23" t="s">
        <v>362</v>
      </c>
    </row>
    <row r="52" spans="1:12" s="101" customFormat="1" ht="15">
      <c r="A52" s="48">
        <v>34</v>
      </c>
      <c r="B52" s="84" t="s">
        <v>51</v>
      </c>
      <c r="C52" s="49" t="s">
        <v>151</v>
      </c>
      <c r="D52" s="17">
        <v>0.46</v>
      </c>
      <c r="E52" s="13">
        <v>0.8</v>
      </c>
      <c r="F52" s="48" t="s">
        <v>4</v>
      </c>
      <c r="G52" s="50">
        <f t="shared" si="1"/>
        <v>0.8</v>
      </c>
      <c r="H52" s="48">
        <v>0</v>
      </c>
      <c r="I52" s="17">
        <f t="shared" si="2"/>
        <v>0.8</v>
      </c>
      <c r="J52" s="17">
        <f t="shared" si="0"/>
        <v>0.34</v>
      </c>
      <c r="K52" s="17">
        <f t="shared" si="3"/>
        <v>0.34</v>
      </c>
      <c r="L52" s="23" t="s">
        <v>362</v>
      </c>
    </row>
    <row r="53" spans="1:12" s="101" customFormat="1" ht="15">
      <c r="A53" s="48">
        <v>35</v>
      </c>
      <c r="B53" s="84" t="s">
        <v>52</v>
      </c>
      <c r="C53" s="49" t="s">
        <v>151</v>
      </c>
      <c r="D53" s="17">
        <v>0.6</v>
      </c>
      <c r="E53" s="13">
        <v>1.05</v>
      </c>
      <c r="F53" s="48" t="s">
        <v>4</v>
      </c>
      <c r="G53" s="50">
        <f t="shared" si="1"/>
        <v>1.05</v>
      </c>
      <c r="H53" s="48">
        <v>0</v>
      </c>
      <c r="I53" s="17">
        <f t="shared" si="2"/>
        <v>1.05</v>
      </c>
      <c r="J53" s="17">
        <f t="shared" si="0"/>
        <v>0.45000000000000007</v>
      </c>
      <c r="K53" s="17">
        <f t="shared" si="3"/>
        <v>0.45000000000000007</v>
      </c>
      <c r="L53" s="23" t="s">
        <v>362</v>
      </c>
    </row>
    <row r="54" spans="1:12" s="101" customFormat="1" ht="15">
      <c r="A54" s="48">
        <v>36</v>
      </c>
      <c r="B54" s="84" t="s">
        <v>53</v>
      </c>
      <c r="C54" s="49" t="s">
        <v>155</v>
      </c>
      <c r="D54" s="17">
        <v>1.76</v>
      </c>
      <c r="E54" s="13">
        <v>2.72</v>
      </c>
      <c r="F54" s="48" t="s">
        <v>4</v>
      </c>
      <c r="G54" s="50">
        <f t="shared" si="1"/>
        <v>2.72</v>
      </c>
      <c r="H54" s="48">
        <v>0</v>
      </c>
      <c r="I54" s="17">
        <f t="shared" si="2"/>
        <v>2.72</v>
      </c>
      <c r="J54" s="17">
        <f t="shared" si="0"/>
        <v>0.9600000000000002</v>
      </c>
      <c r="K54" s="17">
        <f t="shared" si="3"/>
        <v>0.9600000000000002</v>
      </c>
      <c r="L54" s="23" t="s">
        <v>362</v>
      </c>
    </row>
    <row r="55" spans="1:12" s="101" customFormat="1" ht="15">
      <c r="A55" s="48">
        <v>37</v>
      </c>
      <c r="B55" s="84" t="s">
        <v>54</v>
      </c>
      <c r="C55" s="49" t="s">
        <v>151</v>
      </c>
      <c r="D55" s="17">
        <v>0.3</v>
      </c>
      <c r="E55" s="13">
        <v>1.1</v>
      </c>
      <c r="F55" s="48" t="s">
        <v>4</v>
      </c>
      <c r="G55" s="50">
        <f t="shared" si="1"/>
        <v>1.1</v>
      </c>
      <c r="H55" s="48">
        <v>0</v>
      </c>
      <c r="I55" s="17">
        <f t="shared" si="2"/>
        <v>1.1</v>
      </c>
      <c r="J55" s="17">
        <f t="shared" si="0"/>
        <v>0.8</v>
      </c>
      <c r="K55" s="17">
        <f t="shared" si="3"/>
        <v>0.8</v>
      </c>
      <c r="L55" s="23" t="s">
        <v>362</v>
      </c>
    </row>
    <row r="56" spans="1:12" s="101" customFormat="1" ht="15">
      <c r="A56" s="48">
        <v>38</v>
      </c>
      <c r="B56" s="84" t="s">
        <v>55</v>
      </c>
      <c r="C56" s="49" t="s">
        <v>151</v>
      </c>
      <c r="D56" s="17">
        <v>0.72</v>
      </c>
      <c r="E56" s="13">
        <v>0.9</v>
      </c>
      <c r="F56" s="48" t="s">
        <v>4</v>
      </c>
      <c r="G56" s="50">
        <f t="shared" si="1"/>
        <v>0.9</v>
      </c>
      <c r="H56" s="48">
        <v>0</v>
      </c>
      <c r="I56" s="17">
        <f t="shared" si="2"/>
        <v>0.9</v>
      </c>
      <c r="J56" s="17">
        <f t="shared" si="0"/>
        <v>0.18000000000000005</v>
      </c>
      <c r="K56" s="17">
        <f t="shared" si="3"/>
        <v>0.18000000000000005</v>
      </c>
      <c r="L56" s="23" t="s">
        <v>362</v>
      </c>
    </row>
    <row r="57" spans="1:12" s="101" customFormat="1" ht="15">
      <c r="A57" s="48">
        <v>39</v>
      </c>
      <c r="B57" s="84" t="s">
        <v>56</v>
      </c>
      <c r="C57" s="49" t="s">
        <v>155</v>
      </c>
      <c r="D57" s="17">
        <v>0.82</v>
      </c>
      <c r="E57" s="13">
        <v>2.1</v>
      </c>
      <c r="F57" s="48" t="s">
        <v>4</v>
      </c>
      <c r="G57" s="50">
        <f t="shared" si="1"/>
        <v>2.1</v>
      </c>
      <c r="H57" s="48">
        <v>0</v>
      </c>
      <c r="I57" s="17">
        <f t="shared" si="2"/>
        <v>2.1</v>
      </c>
      <c r="J57" s="17">
        <f t="shared" si="0"/>
        <v>1.2800000000000002</v>
      </c>
      <c r="K57" s="17">
        <f t="shared" si="3"/>
        <v>1.2800000000000002</v>
      </c>
      <c r="L57" s="23" t="s">
        <v>362</v>
      </c>
    </row>
    <row r="58" spans="1:12" s="101" customFormat="1" ht="15">
      <c r="A58" s="48">
        <v>40</v>
      </c>
      <c r="B58" s="84" t="s">
        <v>57</v>
      </c>
      <c r="C58" s="49" t="s">
        <v>151</v>
      </c>
      <c r="D58" s="17">
        <v>0.45</v>
      </c>
      <c r="E58" s="13">
        <v>2.15</v>
      </c>
      <c r="F58" s="48" t="s">
        <v>4</v>
      </c>
      <c r="G58" s="50">
        <f t="shared" si="1"/>
        <v>2.15</v>
      </c>
      <c r="H58" s="48">
        <v>0</v>
      </c>
      <c r="I58" s="17">
        <f t="shared" si="2"/>
        <v>2.15</v>
      </c>
      <c r="J58" s="17">
        <f t="shared" si="0"/>
        <v>1.7</v>
      </c>
      <c r="K58" s="17">
        <f t="shared" si="3"/>
        <v>1.7</v>
      </c>
      <c r="L58" s="23" t="s">
        <v>362</v>
      </c>
    </row>
    <row r="59" spans="1:12" s="101" customFormat="1" ht="15">
      <c r="A59" s="48">
        <v>41</v>
      </c>
      <c r="B59" s="84" t="s">
        <v>58</v>
      </c>
      <c r="C59" s="49" t="s">
        <v>151</v>
      </c>
      <c r="D59" s="17">
        <v>0.21</v>
      </c>
      <c r="E59" s="13">
        <v>1.8</v>
      </c>
      <c r="F59" s="48" t="s">
        <v>4</v>
      </c>
      <c r="G59" s="50">
        <f t="shared" si="1"/>
        <v>1.8</v>
      </c>
      <c r="H59" s="48">
        <v>0</v>
      </c>
      <c r="I59" s="17">
        <f t="shared" si="2"/>
        <v>1.8</v>
      </c>
      <c r="J59" s="17">
        <f t="shared" si="0"/>
        <v>1.59</v>
      </c>
      <c r="K59" s="17">
        <f t="shared" si="3"/>
        <v>1.59</v>
      </c>
      <c r="L59" s="23" t="s">
        <v>362</v>
      </c>
    </row>
    <row r="60" spans="1:12" s="101" customFormat="1" ht="15">
      <c r="A60" s="48">
        <v>42</v>
      </c>
      <c r="B60" s="84" t="s">
        <v>59</v>
      </c>
      <c r="C60" s="49" t="s">
        <v>151</v>
      </c>
      <c r="D60" s="61">
        <v>0.21</v>
      </c>
      <c r="E60" s="13">
        <v>1.5</v>
      </c>
      <c r="F60" s="48" t="s">
        <v>4</v>
      </c>
      <c r="G60" s="50">
        <f t="shared" si="1"/>
        <v>1.5</v>
      </c>
      <c r="H60" s="48">
        <v>0</v>
      </c>
      <c r="I60" s="17">
        <f t="shared" si="2"/>
        <v>1.5</v>
      </c>
      <c r="J60" s="17">
        <f t="shared" si="0"/>
        <v>1.29</v>
      </c>
      <c r="K60" s="17">
        <f t="shared" si="3"/>
        <v>1.29</v>
      </c>
      <c r="L60" s="23" t="s">
        <v>362</v>
      </c>
    </row>
    <row r="61" spans="1:12" s="101" customFormat="1" ht="15">
      <c r="A61" s="48">
        <v>43</v>
      </c>
      <c r="B61" s="84" t="s">
        <v>60</v>
      </c>
      <c r="C61" s="49" t="s">
        <v>151</v>
      </c>
      <c r="D61" s="17">
        <v>1.26</v>
      </c>
      <c r="E61" s="13">
        <v>1.5</v>
      </c>
      <c r="F61" s="48" t="s">
        <v>4</v>
      </c>
      <c r="G61" s="50">
        <f t="shared" si="1"/>
        <v>1.5</v>
      </c>
      <c r="H61" s="48">
        <v>0</v>
      </c>
      <c r="I61" s="17">
        <f t="shared" si="2"/>
        <v>1.5</v>
      </c>
      <c r="J61" s="17">
        <f t="shared" si="0"/>
        <v>0.24</v>
      </c>
      <c r="K61" s="17">
        <f t="shared" si="3"/>
        <v>0.24</v>
      </c>
      <c r="L61" s="23" t="s">
        <v>362</v>
      </c>
    </row>
    <row r="62" spans="1:12" s="101" customFormat="1" ht="15">
      <c r="A62" s="48">
        <v>44</v>
      </c>
      <c r="B62" s="84" t="s">
        <v>61</v>
      </c>
      <c r="C62" s="49" t="s">
        <v>151</v>
      </c>
      <c r="D62" s="62">
        <v>0.53</v>
      </c>
      <c r="E62" s="13">
        <v>1.4</v>
      </c>
      <c r="F62" s="48" t="s">
        <v>4</v>
      </c>
      <c r="G62" s="50">
        <f t="shared" si="1"/>
        <v>1.4</v>
      </c>
      <c r="H62" s="48">
        <v>0</v>
      </c>
      <c r="I62" s="17">
        <f t="shared" si="2"/>
        <v>1.4</v>
      </c>
      <c r="J62" s="17">
        <f t="shared" si="0"/>
        <v>0.8699999999999999</v>
      </c>
      <c r="K62" s="17">
        <f t="shared" si="3"/>
        <v>0.8699999999999999</v>
      </c>
      <c r="L62" s="23" t="s">
        <v>362</v>
      </c>
    </row>
    <row r="63" spans="1:12" s="101" customFormat="1" ht="15">
      <c r="A63" s="48">
        <v>45</v>
      </c>
      <c r="B63" s="84" t="s">
        <v>62</v>
      </c>
      <c r="C63" s="49" t="s">
        <v>156</v>
      </c>
      <c r="D63" s="17">
        <v>0.3</v>
      </c>
      <c r="E63" s="13">
        <v>0.7</v>
      </c>
      <c r="F63" s="48" t="s">
        <v>4</v>
      </c>
      <c r="G63" s="50">
        <f t="shared" si="1"/>
        <v>0.7</v>
      </c>
      <c r="H63" s="48">
        <v>0</v>
      </c>
      <c r="I63" s="17">
        <f t="shared" si="2"/>
        <v>0.7</v>
      </c>
      <c r="J63" s="17">
        <f t="shared" si="0"/>
        <v>0.39999999999999997</v>
      </c>
      <c r="K63" s="17">
        <f t="shared" si="3"/>
        <v>0.39999999999999997</v>
      </c>
      <c r="L63" s="23" t="s">
        <v>362</v>
      </c>
    </row>
    <row r="64" spans="1:12" s="101" customFormat="1" ht="15">
      <c r="A64" s="48">
        <v>46</v>
      </c>
      <c r="B64" s="84" t="s">
        <v>63</v>
      </c>
      <c r="C64" s="49" t="s">
        <v>156</v>
      </c>
      <c r="D64" s="17">
        <v>0.57</v>
      </c>
      <c r="E64" s="13">
        <v>0.76</v>
      </c>
      <c r="F64" s="48" t="s">
        <v>4</v>
      </c>
      <c r="G64" s="50">
        <f t="shared" si="1"/>
        <v>0.76</v>
      </c>
      <c r="H64" s="48">
        <v>0</v>
      </c>
      <c r="I64" s="17">
        <f t="shared" si="2"/>
        <v>0.76</v>
      </c>
      <c r="J64" s="17">
        <f t="shared" si="0"/>
        <v>0.19000000000000006</v>
      </c>
      <c r="K64" s="17">
        <f t="shared" si="3"/>
        <v>0.19000000000000006</v>
      </c>
      <c r="L64" s="23" t="s">
        <v>362</v>
      </c>
    </row>
    <row r="65" spans="1:12" s="101" customFormat="1" ht="15">
      <c r="A65" s="48">
        <v>47</v>
      </c>
      <c r="B65" s="84" t="s">
        <v>64</v>
      </c>
      <c r="C65" s="49" t="s">
        <v>151</v>
      </c>
      <c r="D65" s="17">
        <v>0.5</v>
      </c>
      <c r="E65" s="13">
        <v>1.1</v>
      </c>
      <c r="F65" s="48" t="s">
        <v>4</v>
      </c>
      <c r="G65" s="50">
        <f t="shared" si="1"/>
        <v>1.1</v>
      </c>
      <c r="H65" s="48">
        <v>0</v>
      </c>
      <c r="I65" s="17">
        <f t="shared" si="2"/>
        <v>1.1</v>
      </c>
      <c r="J65" s="17">
        <f t="shared" si="0"/>
        <v>0.6000000000000001</v>
      </c>
      <c r="K65" s="17">
        <f t="shared" si="3"/>
        <v>0.6000000000000001</v>
      </c>
      <c r="L65" s="23" t="s">
        <v>362</v>
      </c>
    </row>
    <row r="66" spans="1:12" s="101" customFormat="1" ht="15">
      <c r="A66" s="48">
        <v>48</v>
      </c>
      <c r="B66" s="84" t="s">
        <v>65</v>
      </c>
      <c r="C66" s="49" t="s">
        <v>151</v>
      </c>
      <c r="D66" s="17">
        <v>0.85</v>
      </c>
      <c r="E66" s="13">
        <v>1.43</v>
      </c>
      <c r="F66" s="48" t="s">
        <v>4</v>
      </c>
      <c r="G66" s="50">
        <f t="shared" si="1"/>
        <v>1.43</v>
      </c>
      <c r="H66" s="48">
        <v>0</v>
      </c>
      <c r="I66" s="17">
        <f t="shared" si="2"/>
        <v>1.43</v>
      </c>
      <c r="J66" s="17">
        <f t="shared" si="0"/>
        <v>0.58</v>
      </c>
      <c r="K66" s="17">
        <f t="shared" si="3"/>
        <v>0.58</v>
      </c>
      <c r="L66" s="23" t="s">
        <v>362</v>
      </c>
    </row>
    <row r="67" spans="1:12" s="101" customFormat="1" ht="15">
      <c r="A67" s="48">
        <v>49</v>
      </c>
      <c r="B67" s="84" t="s">
        <v>66</v>
      </c>
      <c r="C67" s="49" t="s">
        <v>151</v>
      </c>
      <c r="D67" s="17">
        <v>0.96</v>
      </c>
      <c r="E67" s="13">
        <v>1.43</v>
      </c>
      <c r="F67" s="48" t="s">
        <v>4</v>
      </c>
      <c r="G67" s="50">
        <f t="shared" si="1"/>
        <v>1.43</v>
      </c>
      <c r="H67" s="48">
        <v>0</v>
      </c>
      <c r="I67" s="17">
        <f t="shared" si="2"/>
        <v>1.43</v>
      </c>
      <c r="J67" s="17">
        <f aca="true" t="shared" si="4" ref="J67:J130">I67-D67</f>
        <v>0.47</v>
      </c>
      <c r="K67" s="17">
        <f t="shared" si="3"/>
        <v>0.47</v>
      </c>
      <c r="L67" s="23" t="s">
        <v>362</v>
      </c>
    </row>
    <row r="68" spans="1:12" s="101" customFormat="1" ht="15">
      <c r="A68" s="48">
        <v>50</v>
      </c>
      <c r="B68" s="84" t="s">
        <v>67</v>
      </c>
      <c r="C68" s="49" t="s">
        <v>151</v>
      </c>
      <c r="D68" s="17">
        <v>0.61</v>
      </c>
      <c r="E68" s="13">
        <v>2.85</v>
      </c>
      <c r="F68" s="48" t="s">
        <v>4</v>
      </c>
      <c r="G68" s="50">
        <f aca="true" t="shared" si="5" ref="G68:G131">E68</f>
        <v>2.85</v>
      </c>
      <c r="H68" s="48">
        <v>0</v>
      </c>
      <c r="I68" s="17">
        <f aca="true" t="shared" si="6" ref="I68:I131">G68-H68</f>
        <v>2.85</v>
      </c>
      <c r="J68" s="17">
        <f t="shared" si="4"/>
        <v>2.24</v>
      </c>
      <c r="K68" s="17">
        <f t="shared" si="3"/>
        <v>2.24</v>
      </c>
      <c r="L68" s="23" t="s">
        <v>362</v>
      </c>
    </row>
    <row r="69" spans="1:12" s="101" customFormat="1" ht="15">
      <c r="A69" s="48">
        <v>51</v>
      </c>
      <c r="B69" s="84" t="s">
        <v>68</v>
      </c>
      <c r="C69" s="49" t="s">
        <v>156</v>
      </c>
      <c r="D69" s="17">
        <v>0.26</v>
      </c>
      <c r="E69" s="13">
        <v>0.94</v>
      </c>
      <c r="F69" s="48" t="s">
        <v>4</v>
      </c>
      <c r="G69" s="50">
        <f t="shared" si="5"/>
        <v>0.94</v>
      </c>
      <c r="H69" s="48">
        <v>0</v>
      </c>
      <c r="I69" s="17">
        <f t="shared" si="6"/>
        <v>0.94</v>
      </c>
      <c r="J69" s="17">
        <f t="shared" si="4"/>
        <v>0.6799999999999999</v>
      </c>
      <c r="K69" s="17">
        <f t="shared" si="3"/>
        <v>0.6799999999999999</v>
      </c>
      <c r="L69" s="23" t="s">
        <v>362</v>
      </c>
    </row>
    <row r="70" spans="1:12" s="101" customFormat="1" ht="15">
      <c r="A70" s="48">
        <v>52</v>
      </c>
      <c r="B70" s="84" t="s">
        <v>69</v>
      </c>
      <c r="C70" s="49" t="s">
        <v>151</v>
      </c>
      <c r="D70" s="17">
        <v>0.4</v>
      </c>
      <c r="E70" s="13">
        <v>1.8</v>
      </c>
      <c r="F70" s="48" t="s">
        <v>4</v>
      </c>
      <c r="G70" s="50">
        <f t="shared" si="5"/>
        <v>1.8</v>
      </c>
      <c r="H70" s="48">
        <v>0</v>
      </c>
      <c r="I70" s="17">
        <f t="shared" si="6"/>
        <v>1.8</v>
      </c>
      <c r="J70" s="17">
        <f t="shared" si="4"/>
        <v>1.4</v>
      </c>
      <c r="K70" s="17">
        <f t="shared" si="3"/>
        <v>1.4</v>
      </c>
      <c r="L70" s="23" t="s">
        <v>362</v>
      </c>
    </row>
    <row r="71" spans="1:12" s="101" customFormat="1" ht="15">
      <c r="A71" s="48">
        <v>53</v>
      </c>
      <c r="B71" s="84" t="s">
        <v>70</v>
      </c>
      <c r="C71" s="49" t="s">
        <v>151</v>
      </c>
      <c r="D71" s="17">
        <v>0.61</v>
      </c>
      <c r="E71" s="13">
        <v>0.8</v>
      </c>
      <c r="F71" s="48" t="s">
        <v>4</v>
      </c>
      <c r="G71" s="50">
        <f t="shared" si="5"/>
        <v>0.8</v>
      </c>
      <c r="H71" s="48">
        <v>0</v>
      </c>
      <c r="I71" s="17">
        <f t="shared" si="6"/>
        <v>0.8</v>
      </c>
      <c r="J71" s="17">
        <f t="shared" si="4"/>
        <v>0.19000000000000006</v>
      </c>
      <c r="K71" s="17">
        <f t="shared" si="3"/>
        <v>0.19000000000000006</v>
      </c>
      <c r="L71" s="23" t="s">
        <v>362</v>
      </c>
    </row>
    <row r="72" spans="1:12" s="101" customFormat="1" ht="15">
      <c r="A72" s="48">
        <v>54</v>
      </c>
      <c r="B72" s="84" t="s">
        <v>71</v>
      </c>
      <c r="C72" s="49" t="s">
        <v>154</v>
      </c>
      <c r="D72" s="17">
        <v>0.33</v>
      </c>
      <c r="E72" s="13">
        <v>1.07</v>
      </c>
      <c r="F72" s="48" t="s">
        <v>4</v>
      </c>
      <c r="G72" s="50">
        <f t="shared" si="5"/>
        <v>1.07</v>
      </c>
      <c r="H72" s="48">
        <v>0</v>
      </c>
      <c r="I72" s="17">
        <f t="shared" si="6"/>
        <v>1.07</v>
      </c>
      <c r="J72" s="17">
        <f t="shared" si="4"/>
        <v>0.74</v>
      </c>
      <c r="K72" s="17">
        <f t="shared" si="3"/>
        <v>0.74</v>
      </c>
      <c r="L72" s="23" t="s">
        <v>362</v>
      </c>
    </row>
    <row r="73" spans="1:12" s="101" customFormat="1" ht="15">
      <c r="A73" s="48">
        <v>55</v>
      </c>
      <c r="B73" s="84" t="s">
        <v>72</v>
      </c>
      <c r="C73" s="49" t="s">
        <v>151</v>
      </c>
      <c r="D73" s="59">
        <v>0.3</v>
      </c>
      <c r="E73" s="13">
        <v>0.85</v>
      </c>
      <c r="F73" s="48" t="s">
        <v>4</v>
      </c>
      <c r="G73" s="50">
        <f t="shared" si="5"/>
        <v>0.85</v>
      </c>
      <c r="H73" s="48">
        <v>0</v>
      </c>
      <c r="I73" s="17">
        <f t="shared" si="6"/>
        <v>0.85</v>
      </c>
      <c r="J73" s="17">
        <f t="shared" si="4"/>
        <v>0.55</v>
      </c>
      <c r="K73" s="17">
        <f t="shared" si="3"/>
        <v>0.55</v>
      </c>
      <c r="L73" s="23" t="s">
        <v>362</v>
      </c>
    </row>
    <row r="74" spans="1:12" s="101" customFormat="1" ht="15">
      <c r="A74" s="48">
        <v>56</v>
      </c>
      <c r="B74" s="84" t="s">
        <v>73</v>
      </c>
      <c r="C74" s="49" t="s">
        <v>156</v>
      </c>
      <c r="D74" s="17">
        <v>0.36</v>
      </c>
      <c r="E74" s="13">
        <v>2.15</v>
      </c>
      <c r="F74" s="48" t="s">
        <v>4</v>
      </c>
      <c r="G74" s="50">
        <f t="shared" si="5"/>
        <v>2.15</v>
      </c>
      <c r="H74" s="48">
        <v>0</v>
      </c>
      <c r="I74" s="17">
        <f t="shared" si="6"/>
        <v>2.15</v>
      </c>
      <c r="J74" s="17">
        <f t="shared" si="4"/>
        <v>1.79</v>
      </c>
      <c r="K74" s="17">
        <f t="shared" si="3"/>
        <v>1.79</v>
      </c>
      <c r="L74" s="23" t="s">
        <v>362</v>
      </c>
    </row>
    <row r="75" spans="1:12" s="101" customFormat="1" ht="15">
      <c r="A75" s="48">
        <v>57</v>
      </c>
      <c r="B75" s="84" t="s">
        <v>74</v>
      </c>
      <c r="C75" s="49" t="s">
        <v>151</v>
      </c>
      <c r="D75" s="17">
        <v>0.49</v>
      </c>
      <c r="E75" s="13">
        <v>0.84</v>
      </c>
      <c r="F75" s="48" t="s">
        <v>4</v>
      </c>
      <c r="G75" s="50">
        <f t="shared" si="5"/>
        <v>0.84</v>
      </c>
      <c r="H75" s="48">
        <v>0</v>
      </c>
      <c r="I75" s="17">
        <f t="shared" si="6"/>
        <v>0.84</v>
      </c>
      <c r="J75" s="17">
        <f t="shared" si="4"/>
        <v>0.35</v>
      </c>
      <c r="K75" s="17">
        <f t="shared" si="3"/>
        <v>0.35</v>
      </c>
      <c r="L75" s="23" t="s">
        <v>362</v>
      </c>
    </row>
    <row r="76" spans="1:12" s="101" customFormat="1" ht="15">
      <c r="A76" s="48">
        <v>58</v>
      </c>
      <c r="B76" s="84" t="s">
        <v>75</v>
      </c>
      <c r="C76" s="49" t="s">
        <v>154</v>
      </c>
      <c r="D76" s="17">
        <v>1.01</v>
      </c>
      <c r="E76" s="13">
        <v>2.15</v>
      </c>
      <c r="F76" s="48" t="s">
        <v>4</v>
      </c>
      <c r="G76" s="50">
        <f t="shared" si="5"/>
        <v>2.15</v>
      </c>
      <c r="H76" s="48">
        <v>0</v>
      </c>
      <c r="I76" s="17">
        <f t="shared" si="6"/>
        <v>2.15</v>
      </c>
      <c r="J76" s="17">
        <f t="shared" si="4"/>
        <v>1.14</v>
      </c>
      <c r="K76" s="17">
        <f t="shared" si="3"/>
        <v>1.14</v>
      </c>
      <c r="L76" s="23" t="s">
        <v>362</v>
      </c>
    </row>
    <row r="77" spans="1:12" s="101" customFormat="1" ht="15">
      <c r="A77" s="48">
        <v>59</v>
      </c>
      <c r="B77" s="84" t="s">
        <v>76</v>
      </c>
      <c r="C77" s="49" t="s">
        <v>151</v>
      </c>
      <c r="D77" s="17">
        <v>0.2</v>
      </c>
      <c r="E77" s="13">
        <v>0.58</v>
      </c>
      <c r="F77" s="48" t="s">
        <v>4</v>
      </c>
      <c r="G77" s="50">
        <f t="shared" si="5"/>
        <v>0.58</v>
      </c>
      <c r="H77" s="48">
        <v>0</v>
      </c>
      <c r="I77" s="17">
        <f t="shared" si="6"/>
        <v>0.58</v>
      </c>
      <c r="J77" s="17">
        <f t="shared" si="4"/>
        <v>0.37999999999999995</v>
      </c>
      <c r="K77" s="17">
        <f t="shared" si="3"/>
        <v>0.37999999999999995</v>
      </c>
      <c r="L77" s="23" t="s">
        <v>362</v>
      </c>
    </row>
    <row r="78" spans="1:12" s="101" customFormat="1" ht="15">
      <c r="A78" s="48">
        <v>60</v>
      </c>
      <c r="B78" s="84" t="s">
        <v>77</v>
      </c>
      <c r="C78" s="49" t="s">
        <v>155</v>
      </c>
      <c r="D78" s="17">
        <v>0.41</v>
      </c>
      <c r="E78" s="13">
        <v>0.8</v>
      </c>
      <c r="F78" s="48" t="s">
        <v>4</v>
      </c>
      <c r="G78" s="50">
        <f t="shared" si="5"/>
        <v>0.8</v>
      </c>
      <c r="H78" s="48">
        <v>0</v>
      </c>
      <c r="I78" s="17">
        <f t="shared" si="6"/>
        <v>0.8</v>
      </c>
      <c r="J78" s="17">
        <f t="shared" si="4"/>
        <v>0.39000000000000007</v>
      </c>
      <c r="K78" s="17">
        <f t="shared" si="3"/>
        <v>0.39000000000000007</v>
      </c>
      <c r="L78" s="23" t="s">
        <v>362</v>
      </c>
    </row>
    <row r="79" spans="1:12" s="101" customFormat="1" ht="15">
      <c r="A79" s="48">
        <v>61</v>
      </c>
      <c r="B79" s="84" t="s">
        <v>78</v>
      </c>
      <c r="C79" s="49" t="s">
        <v>151</v>
      </c>
      <c r="D79" s="59">
        <v>0.13</v>
      </c>
      <c r="E79" s="13">
        <v>1.8</v>
      </c>
      <c r="F79" s="48" t="s">
        <v>4</v>
      </c>
      <c r="G79" s="50">
        <f t="shared" si="5"/>
        <v>1.8</v>
      </c>
      <c r="H79" s="48">
        <v>0</v>
      </c>
      <c r="I79" s="17">
        <f t="shared" si="6"/>
        <v>1.8</v>
      </c>
      <c r="J79" s="17">
        <f t="shared" si="4"/>
        <v>1.67</v>
      </c>
      <c r="K79" s="17">
        <f t="shared" si="3"/>
        <v>1.67</v>
      </c>
      <c r="L79" s="23" t="s">
        <v>362</v>
      </c>
    </row>
    <row r="80" spans="1:12" s="101" customFormat="1" ht="15">
      <c r="A80" s="48">
        <v>62</v>
      </c>
      <c r="B80" s="84" t="s">
        <v>79</v>
      </c>
      <c r="C80" s="49" t="s">
        <v>156</v>
      </c>
      <c r="D80" s="17">
        <v>0.31</v>
      </c>
      <c r="E80" s="13">
        <v>0.64</v>
      </c>
      <c r="F80" s="48" t="s">
        <v>4</v>
      </c>
      <c r="G80" s="50">
        <f t="shared" si="5"/>
        <v>0.64</v>
      </c>
      <c r="H80" s="48">
        <v>0</v>
      </c>
      <c r="I80" s="17">
        <f t="shared" si="6"/>
        <v>0.64</v>
      </c>
      <c r="J80" s="17">
        <f t="shared" si="4"/>
        <v>0.33</v>
      </c>
      <c r="K80" s="17">
        <f t="shared" si="3"/>
        <v>0.33</v>
      </c>
      <c r="L80" s="23" t="s">
        <v>362</v>
      </c>
    </row>
    <row r="81" spans="1:12" s="101" customFormat="1" ht="15">
      <c r="A81" s="48">
        <v>63</v>
      </c>
      <c r="B81" s="84" t="s">
        <v>81</v>
      </c>
      <c r="C81" s="49" t="s">
        <v>156</v>
      </c>
      <c r="D81" s="17">
        <v>0.28</v>
      </c>
      <c r="E81" s="13">
        <v>0.74</v>
      </c>
      <c r="F81" s="48" t="s">
        <v>4</v>
      </c>
      <c r="G81" s="50">
        <f t="shared" si="5"/>
        <v>0.74</v>
      </c>
      <c r="H81" s="48">
        <v>0</v>
      </c>
      <c r="I81" s="17">
        <f t="shared" si="6"/>
        <v>0.74</v>
      </c>
      <c r="J81" s="17">
        <f t="shared" si="4"/>
        <v>0.45999999999999996</v>
      </c>
      <c r="K81" s="17">
        <f t="shared" si="3"/>
        <v>0.45999999999999996</v>
      </c>
      <c r="L81" s="23" t="s">
        <v>362</v>
      </c>
    </row>
    <row r="82" spans="1:12" s="101" customFormat="1" ht="15">
      <c r="A82" s="48">
        <v>64</v>
      </c>
      <c r="B82" s="84" t="s">
        <v>82</v>
      </c>
      <c r="C82" s="49" t="s">
        <v>151</v>
      </c>
      <c r="D82" s="17">
        <v>0.64</v>
      </c>
      <c r="E82" s="13">
        <v>1.53</v>
      </c>
      <c r="F82" s="48" t="s">
        <v>4</v>
      </c>
      <c r="G82" s="50">
        <f t="shared" si="5"/>
        <v>1.53</v>
      </c>
      <c r="H82" s="48">
        <v>0</v>
      </c>
      <c r="I82" s="17">
        <f t="shared" si="6"/>
        <v>1.53</v>
      </c>
      <c r="J82" s="17">
        <f t="shared" si="4"/>
        <v>0.89</v>
      </c>
      <c r="K82" s="17">
        <f t="shared" si="3"/>
        <v>0.89</v>
      </c>
      <c r="L82" s="23" t="s">
        <v>362</v>
      </c>
    </row>
    <row r="83" spans="1:12" s="101" customFormat="1" ht="15">
      <c r="A83" s="48">
        <v>65</v>
      </c>
      <c r="B83" s="84" t="s">
        <v>83</v>
      </c>
      <c r="C83" s="49" t="s">
        <v>151</v>
      </c>
      <c r="D83" s="17">
        <v>0.55</v>
      </c>
      <c r="E83" s="13">
        <v>0.84</v>
      </c>
      <c r="F83" s="48" t="s">
        <v>4</v>
      </c>
      <c r="G83" s="50">
        <f t="shared" si="5"/>
        <v>0.84</v>
      </c>
      <c r="H83" s="48">
        <v>0</v>
      </c>
      <c r="I83" s="17">
        <f t="shared" si="6"/>
        <v>0.84</v>
      </c>
      <c r="J83" s="17">
        <f t="shared" si="4"/>
        <v>0.2899999999999999</v>
      </c>
      <c r="K83" s="17">
        <f t="shared" si="3"/>
        <v>0.2899999999999999</v>
      </c>
      <c r="L83" s="23" t="s">
        <v>362</v>
      </c>
    </row>
    <row r="84" spans="1:12" s="101" customFormat="1" ht="15">
      <c r="A84" s="48">
        <v>66</v>
      </c>
      <c r="B84" s="84" t="s">
        <v>84</v>
      </c>
      <c r="C84" s="49" t="s">
        <v>154</v>
      </c>
      <c r="D84" s="17">
        <v>0.55</v>
      </c>
      <c r="E84" s="13">
        <v>1.42</v>
      </c>
      <c r="F84" s="48" t="s">
        <v>4</v>
      </c>
      <c r="G84" s="50">
        <f t="shared" si="5"/>
        <v>1.42</v>
      </c>
      <c r="H84" s="48">
        <v>0</v>
      </c>
      <c r="I84" s="17">
        <f t="shared" si="6"/>
        <v>1.42</v>
      </c>
      <c r="J84" s="17">
        <f t="shared" si="4"/>
        <v>0.8699999999999999</v>
      </c>
      <c r="K84" s="17">
        <f t="shared" si="3"/>
        <v>0.8699999999999999</v>
      </c>
      <c r="L84" s="23" t="s">
        <v>362</v>
      </c>
    </row>
    <row r="85" spans="1:12" s="101" customFormat="1" ht="15">
      <c r="A85" s="48">
        <v>67</v>
      </c>
      <c r="B85" s="84" t="s">
        <v>85</v>
      </c>
      <c r="C85" s="49" t="s">
        <v>156</v>
      </c>
      <c r="D85" s="17">
        <v>0.55</v>
      </c>
      <c r="E85" s="13">
        <v>0.76</v>
      </c>
      <c r="F85" s="48" t="s">
        <v>4</v>
      </c>
      <c r="G85" s="50">
        <f t="shared" si="5"/>
        <v>0.76</v>
      </c>
      <c r="H85" s="48">
        <v>0</v>
      </c>
      <c r="I85" s="17">
        <f t="shared" si="6"/>
        <v>0.76</v>
      </c>
      <c r="J85" s="17">
        <f t="shared" si="4"/>
        <v>0.20999999999999996</v>
      </c>
      <c r="K85" s="17">
        <f t="shared" si="3"/>
        <v>0.20999999999999996</v>
      </c>
      <c r="L85" s="23" t="s">
        <v>362</v>
      </c>
    </row>
    <row r="86" spans="1:12" s="101" customFormat="1" ht="15">
      <c r="A86" s="48">
        <v>68</v>
      </c>
      <c r="B86" s="84" t="s">
        <v>86</v>
      </c>
      <c r="C86" s="49" t="s">
        <v>151</v>
      </c>
      <c r="D86" s="17">
        <v>0.25</v>
      </c>
      <c r="E86" s="13">
        <v>1.43</v>
      </c>
      <c r="F86" s="48" t="s">
        <v>4</v>
      </c>
      <c r="G86" s="50">
        <f t="shared" si="5"/>
        <v>1.43</v>
      </c>
      <c r="H86" s="48">
        <v>0</v>
      </c>
      <c r="I86" s="17">
        <f t="shared" si="6"/>
        <v>1.43</v>
      </c>
      <c r="J86" s="17">
        <f t="shared" si="4"/>
        <v>1.18</v>
      </c>
      <c r="K86" s="17">
        <f t="shared" si="3"/>
        <v>1.18</v>
      </c>
      <c r="L86" s="23" t="s">
        <v>362</v>
      </c>
    </row>
    <row r="87" spans="1:12" s="101" customFormat="1" ht="15">
      <c r="A87" s="48">
        <v>69</v>
      </c>
      <c r="B87" s="84" t="s">
        <v>87</v>
      </c>
      <c r="C87" s="49" t="s">
        <v>154</v>
      </c>
      <c r="D87" s="17">
        <v>0.64</v>
      </c>
      <c r="E87" s="13">
        <v>0.83</v>
      </c>
      <c r="F87" s="48" t="s">
        <v>4</v>
      </c>
      <c r="G87" s="50">
        <f t="shared" si="5"/>
        <v>0.83</v>
      </c>
      <c r="H87" s="48">
        <v>0</v>
      </c>
      <c r="I87" s="17">
        <f t="shared" si="6"/>
        <v>0.83</v>
      </c>
      <c r="J87" s="17">
        <f t="shared" si="4"/>
        <v>0.18999999999999995</v>
      </c>
      <c r="K87" s="17">
        <f t="shared" si="3"/>
        <v>0.18999999999999995</v>
      </c>
      <c r="L87" s="23" t="s">
        <v>362</v>
      </c>
    </row>
    <row r="88" spans="1:12" s="101" customFormat="1" ht="15">
      <c r="A88" s="48">
        <v>70</v>
      </c>
      <c r="B88" s="84" t="s">
        <v>88</v>
      </c>
      <c r="C88" s="49" t="s">
        <v>151</v>
      </c>
      <c r="D88" s="17">
        <v>1.06</v>
      </c>
      <c r="E88" s="13">
        <v>1.1</v>
      </c>
      <c r="F88" s="48" t="s">
        <v>4</v>
      </c>
      <c r="G88" s="50">
        <f t="shared" si="5"/>
        <v>1.1</v>
      </c>
      <c r="H88" s="48">
        <v>0</v>
      </c>
      <c r="I88" s="17">
        <f t="shared" si="6"/>
        <v>1.1</v>
      </c>
      <c r="J88" s="17">
        <f t="shared" si="4"/>
        <v>0.040000000000000036</v>
      </c>
      <c r="K88" s="17">
        <f t="shared" si="3"/>
        <v>0.040000000000000036</v>
      </c>
      <c r="L88" s="23" t="s">
        <v>362</v>
      </c>
    </row>
    <row r="89" spans="1:12" s="101" customFormat="1" ht="15">
      <c r="A89" s="48">
        <v>71</v>
      </c>
      <c r="B89" s="84" t="s">
        <v>89</v>
      </c>
      <c r="C89" s="49" t="s">
        <v>156</v>
      </c>
      <c r="D89" s="17">
        <v>0.6</v>
      </c>
      <c r="E89" s="13">
        <v>1.29</v>
      </c>
      <c r="F89" s="48" t="s">
        <v>4</v>
      </c>
      <c r="G89" s="50">
        <f t="shared" si="5"/>
        <v>1.29</v>
      </c>
      <c r="H89" s="48">
        <v>0</v>
      </c>
      <c r="I89" s="17">
        <f t="shared" si="6"/>
        <v>1.29</v>
      </c>
      <c r="J89" s="17">
        <f t="shared" si="4"/>
        <v>0.6900000000000001</v>
      </c>
      <c r="K89" s="17">
        <f t="shared" si="3"/>
        <v>0.6900000000000001</v>
      </c>
      <c r="L89" s="23" t="s">
        <v>362</v>
      </c>
    </row>
    <row r="90" spans="1:12" s="101" customFormat="1" ht="15">
      <c r="A90" s="48">
        <v>72</v>
      </c>
      <c r="B90" s="84" t="s">
        <v>90</v>
      </c>
      <c r="C90" s="49" t="s">
        <v>150</v>
      </c>
      <c r="D90" s="17">
        <v>0.56</v>
      </c>
      <c r="E90" s="13">
        <v>1.15</v>
      </c>
      <c r="F90" s="48" t="s">
        <v>4</v>
      </c>
      <c r="G90" s="50">
        <f t="shared" si="5"/>
        <v>1.15</v>
      </c>
      <c r="H90" s="48">
        <v>0</v>
      </c>
      <c r="I90" s="17">
        <f t="shared" si="6"/>
        <v>1.15</v>
      </c>
      <c r="J90" s="17">
        <f t="shared" si="4"/>
        <v>0.5899999999999999</v>
      </c>
      <c r="K90" s="17">
        <f t="shared" si="3"/>
        <v>0.5899999999999999</v>
      </c>
      <c r="L90" s="23" t="s">
        <v>362</v>
      </c>
    </row>
    <row r="91" spans="1:12" s="101" customFormat="1" ht="15">
      <c r="A91" s="48">
        <v>73</v>
      </c>
      <c r="B91" s="84" t="s">
        <v>91</v>
      </c>
      <c r="C91" s="49" t="s">
        <v>157</v>
      </c>
      <c r="D91" s="17">
        <v>0</v>
      </c>
      <c r="E91" s="13">
        <v>0.96</v>
      </c>
      <c r="F91" s="48" t="s">
        <v>4</v>
      </c>
      <c r="G91" s="50">
        <f t="shared" si="5"/>
        <v>0.96</v>
      </c>
      <c r="H91" s="48">
        <v>0</v>
      </c>
      <c r="I91" s="17">
        <f t="shared" si="6"/>
        <v>0.96</v>
      </c>
      <c r="J91" s="17">
        <f t="shared" si="4"/>
        <v>0.96</v>
      </c>
      <c r="K91" s="17">
        <f t="shared" si="3"/>
        <v>0.96</v>
      </c>
      <c r="L91" s="23" t="s">
        <v>362</v>
      </c>
    </row>
    <row r="92" spans="1:12" s="101" customFormat="1" ht="15">
      <c r="A92" s="48">
        <v>74</v>
      </c>
      <c r="B92" s="84" t="s">
        <v>92</v>
      </c>
      <c r="C92" s="49" t="s">
        <v>156</v>
      </c>
      <c r="D92" s="17">
        <v>0.6</v>
      </c>
      <c r="E92" s="13">
        <v>1.1</v>
      </c>
      <c r="F92" s="48" t="s">
        <v>4</v>
      </c>
      <c r="G92" s="50">
        <f t="shared" si="5"/>
        <v>1.1</v>
      </c>
      <c r="H92" s="48">
        <v>0</v>
      </c>
      <c r="I92" s="17">
        <f t="shared" si="6"/>
        <v>1.1</v>
      </c>
      <c r="J92" s="17">
        <f t="shared" si="4"/>
        <v>0.5000000000000001</v>
      </c>
      <c r="K92" s="17">
        <f t="shared" si="3"/>
        <v>0.5000000000000001</v>
      </c>
      <c r="L92" s="23" t="s">
        <v>362</v>
      </c>
    </row>
    <row r="93" spans="1:12" s="101" customFormat="1" ht="15">
      <c r="A93" s="48">
        <v>75</v>
      </c>
      <c r="B93" s="84" t="s">
        <v>93</v>
      </c>
      <c r="C93" s="49" t="s">
        <v>155</v>
      </c>
      <c r="D93" s="17">
        <v>0.76</v>
      </c>
      <c r="E93" s="13">
        <v>1.28</v>
      </c>
      <c r="F93" s="48" t="s">
        <v>4</v>
      </c>
      <c r="G93" s="50">
        <f t="shared" si="5"/>
        <v>1.28</v>
      </c>
      <c r="H93" s="48">
        <v>0</v>
      </c>
      <c r="I93" s="17">
        <f t="shared" si="6"/>
        <v>1.28</v>
      </c>
      <c r="J93" s="17">
        <f t="shared" si="4"/>
        <v>0.52</v>
      </c>
      <c r="K93" s="17">
        <f t="shared" si="3"/>
        <v>0.52</v>
      </c>
      <c r="L93" s="23" t="s">
        <v>362</v>
      </c>
    </row>
    <row r="94" spans="1:12" s="101" customFormat="1" ht="15">
      <c r="A94" s="48">
        <v>76</v>
      </c>
      <c r="B94" s="84" t="s">
        <v>94</v>
      </c>
      <c r="C94" s="49" t="s">
        <v>151</v>
      </c>
      <c r="D94" s="17">
        <v>0.45</v>
      </c>
      <c r="E94" s="13">
        <v>1.19</v>
      </c>
      <c r="F94" s="48" t="s">
        <v>4</v>
      </c>
      <c r="G94" s="50">
        <f t="shared" si="5"/>
        <v>1.19</v>
      </c>
      <c r="H94" s="48">
        <v>0</v>
      </c>
      <c r="I94" s="17">
        <f t="shared" si="6"/>
        <v>1.19</v>
      </c>
      <c r="J94" s="17">
        <f t="shared" si="4"/>
        <v>0.74</v>
      </c>
      <c r="K94" s="17">
        <f t="shared" si="3"/>
        <v>0.74</v>
      </c>
      <c r="L94" s="23" t="s">
        <v>362</v>
      </c>
    </row>
    <row r="95" spans="1:12" s="101" customFormat="1" ht="15">
      <c r="A95" s="48">
        <v>77</v>
      </c>
      <c r="B95" s="84" t="s">
        <v>95</v>
      </c>
      <c r="C95" s="49" t="s">
        <v>151</v>
      </c>
      <c r="D95" s="17">
        <v>0.68</v>
      </c>
      <c r="E95" s="13">
        <v>0.8</v>
      </c>
      <c r="F95" s="48" t="s">
        <v>4</v>
      </c>
      <c r="G95" s="50">
        <f t="shared" si="5"/>
        <v>0.8</v>
      </c>
      <c r="H95" s="48">
        <v>0</v>
      </c>
      <c r="I95" s="17">
        <f t="shared" si="6"/>
        <v>0.8</v>
      </c>
      <c r="J95" s="17">
        <f t="shared" si="4"/>
        <v>0.12</v>
      </c>
      <c r="K95" s="17">
        <f t="shared" si="3"/>
        <v>0.12</v>
      </c>
      <c r="L95" s="23" t="s">
        <v>362</v>
      </c>
    </row>
    <row r="96" spans="1:12" s="101" customFormat="1" ht="15">
      <c r="A96" s="48">
        <v>78</v>
      </c>
      <c r="B96" s="84" t="s">
        <v>96</v>
      </c>
      <c r="C96" s="49" t="s">
        <v>151</v>
      </c>
      <c r="D96" s="17">
        <v>0.23</v>
      </c>
      <c r="E96" s="13">
        <v>1.33</v>
      </c>
      <c r="F96" s="48" t="s">
        <v>4</v>
      </c>
      <c r="G96" s="50">
        <f t="shared" si="5"/>
        <v>1.33</v>
      </c>
      <c r="H96" s="48">
        <v>0</v>
      </c>
      <c r="I96" s="17">
        <f t="shared" si="6"/>
        <v>1.33</v>
      </c>
      <c r="J96" s="17">
        <f t="shared" si="4"/>
        <v>1.1</v>
      </c>
      <c r="K96" s="17">
        <f t="shared" si="3"/>
        <v>1.1</v>
      </c>
      <c r="L96" s="23" t="s">
        <v>362</v>
      </c>
    </row>
    <row r="97" spans="1:12" s="101" customFormat="1" ht="15">
      <c r="A97" s="48">
        <v>79</v>
      </c>
      <c r="B97" s="84" t="s">
        <v>97</v>
      </c>
      <c r="C97" s="49" t="s">
        <v>155</v>
      </c>
      <c r="D97" s="17">
        <v>1</v>
      </c>
      <c r="E97" s="13">
        <v>2.15</v>
      </c>
      <c r="F97" s="48" t="s">
        <v>4</v>
      </c>
      <c r="G97" s="50">
        <f t="shared" si="5"/>
        <v>2.15</v>
      </c>
      <c r="H97" s="48">
        <v>0</v>
      </c>
      <c r="I97" s="17">
        <f t="shared" si="6"/>
        <v>2.15</v>
      </c>
      <c r="J97" s="17">
        <f t="shared" si="4"/>
        <v>1.15</v>
      </c>
      <c r="K97" s="17">
        <f aca="true" t="shared" si="7" ref="K97:K147">J97</f>
        <v>1.15</v>
      </c>
      <c r="L97" s="23" t="s">
        <v>362</v>
      </c>
    </row>
    <row r="98" spans="1:12" s="101" customFormat="1" ht="15">
      <c r="A98" s="48">
        <v>80</v>
      </c>
      <c r="B98" s="84" t="s">
        <v>98</v>
      </c>
      <c r="C98" s="49" t="s">
        <v>155</v>
      </c>
      <c r="D98" s="17">
        <v>0.56</v>
      </c>
      <c r="E98" s="13">
        <v>2.15</v>
      </c>
      <c r="F98" s="48" t="s">
        <v>4</v>
      </c>
      <c r="G98" s="50">
        <f t="shared" si="5"/>
        <v>2.15</v>
      </c>
      <c r="H98" s="48">
        <v>0</v>
      </c>
      <c r="I98" s="17">
        <f t="shared" si="6"/>
        <v>2.15</v>
      </c>
      <c r="J98" s="17">
        <f t="shared" si="4"/>
        <v>1.5899999999999999</v>
      </c>
      <c r="K98" s="17">
        <f t="shared" si="7"/>
        <v>1.5899999999999999</v>
      </c>
      <c r="L98" s="23" t="s">
        <v>362</v>
      </c>
    </row>
    <row r="99" spans="1:12" s="101" customFormat="1" ht="15">
      <c r="A99" s="48">
        <v>81</v>
      </c>
      <c r="B99" s="84" t="s">
        <v>99</v>
      </c>
      <c r="C99" s="49" t="s">
        <v>156</v>
      </c>
      <c r="D99" s="17">
        <v>0.6</v>
      </c>
      <c r="E99" s="13">
        <v>1.1</v>
      </c>
      <c r="F99" s="48" t="s">
        <v>4</v>
      </c>
      <c r="G99" s="50">
        <f t="shared" si="5"/>
        <v>1.1</v>
      </c>
      <c r="H99" s="48">
        <v>0</v>
      </c>
      <c r="I99" s="17">
        <f t="shared" si="6"/>
        <v>1.1</v>
      </c>
      <c r="J99" s="17">
        <f t="shared" si="4"/>
        <v>0.5000000000000001</v>
      </c>
      <c r="K99" s="17">
        <f t="shared" si="7"/>
        <v>0.5000000000000001</v>
      </c>
      <c r="L99" s="23" t="s">
        <v>362</v>
      </c>
    </row>
    <row r="100" spans="1:12" s="101" customFormat="1" ht="15">
      <c r="A100" s="48">
        <v>82</v>
      </c>
      <c r="B100" s="84" t="s">
        <v>100</v>
      </c>
      <c r="C100" s="49" t="s">
        <v>151</v>
      </c>
      <c r="D100" s="59">
        <v>0.42</v>
      </c>
      <c r="E100" s="13">
        <v>0.9</v>
      </c>
      <c r="F100" s="48" t="s">
        <v>4</v>
      </c>
      <c r="G100" s="50">
        <f t="shared" si="5"/>
        <v>0.9</v>
      </c>
      <c r="H100" s="48">
        <v>0</v>
      </c>
      <c r="I100" s="17">
        <f t="shared" si="6"/>
        <v>0.9</v>
      </c>
      <c r="J100" s="17">
        <f t="shared" si="4"/>
        <v>0.48000000000000004</v>
      </c>
      <c r="K100" s="17">
        <f t="shared" si="7"/>
        <v>0.48000000000000004</v>
      </c>
      <c r="L100" s="23" t="s">
        <v>362</v>
      </c>
    </row>
    <row r="101" spans="1:12" s="101" customFormat="1" ht="15">
      <c r="A101" s="48">
        <v>83</v>
      </c>
      <c r="B101" s="84" t="s">
        <v>101</v>
      </c>
      <c r="C101" s="49" t="s">
        <v>151</v>
      </c>
      <c r="D101" s="17">
        <v>0.04</v>
      </c>
      <c r="E101" s="13">
        <v>1.07</v>
      </c>
      <c r="F101" s="48" t="s">
        <v>4</v>
      </c>
      <c r="G101" s="50">
        <f t="shared" si="5"/>
        <v>1.07</v>
      </c>
      <c r="H101" s="48">
        <v>0</v>
      </c>
      <c r="I101" s="17">
        <f t="shared" si="6"/>
        <v>1.07</v>
      </c>
      <c r="J101" s="17">
        <f t="shared" si="4"/>
        <v>1.03</v>
      </c>
      <c r="K101" s="17">
        <f t="shared" si="7"/>
        <v>1.03</v>
      </c>
      <c r="L101" s="23" t="s">
        <v>362</v>
      </c>
    </row>
    <row r="102" spans="1:12" s="101" customFormat="1" ht="15">
      <c r="A102" s="48">
        <v>84</v>
      </c>
      <c r="B102" s="84" t="s">
        <v>102</v>
      </c>
      <c r="C102" s="49" t="s">
        <v>151</v>
      </c>
      <c r="D102" s="17">
        <v>0.08</v>
      </c>
      <c r="E102" s="13">
        <v>4.3</v>
      </c>
      <c r="F102" s="48" t="s">
        <v>4</v>
      </c>
      <c r="G102" s="50">
        <f t="shared" si="5"/>
        <v>4.3</v>
      </c>
      <c r="H102" s="48">
        <v>0</v>
      </c>
      <c r="I102" s="17">
        <f t="shared" si="6"/>
        <v>4.3</v>
      </c>
      <c r="J102" s="17">
        <f t="shared" si="4"/>
        <v>4.22</v>
      </c>
      <c r="K102" s="17">
        <f t="shared" si="7"/>
        <v>4.22</v>
      </c>
      <c r="L102" s="23" t="s">
        <v>362</v>
      </c>
    </row>
    <row r="103" spans="1:12" s="101" customFormat="1" ht="15">
      <c r="A103" s="48">
        <v>85</v>
      </c>
      <c r="B103" s="84" t="s">
        <v>103</v>
      </c>
      <c r="C103" s="49" t="s">
        <v>155</v>
      </c>
      <c r="D103" s="17">
        <v>1.1</v>
      </c>
      <c r="E103" s="13">
        <v>2.15</v>
      </c>
      <c r="F103" s="48" t="s">
        <v>4</v>
      </c>
      <c r="G103" s="50">
        <f t="shared" si="5"/>
        <v>2.15</v>
      </c>
      <c r="H103" s="48">
        <v>0</v>
      </c>
      <c r="I103" s="17">
        <f t="shared" si="6"/>
        <v>2.15</v>
      </c>
      <c r="J103" s="17">
        <f t="shared" si="4"/>
        <v>1.0499999999999998</v>
      </c>
      <c r="K103" s="17">
        <f t="shared" si="7"/>
        <v>1.0499999999999998</v>
      </c>
      <c r="L103" s="23" t="s">
        <v>362</v>
      </c>
    </row>
    <row r="104" spans="1:12" s="101" customFormat="1" ht="15">
      <c r="A104" s="48">
        <v>86</v>
      </c>
      <c r="B104" s="84" t="s">
        <v>104</v>
      </c>
      <c r="C104" s="49" t="s">
        <v>151</v>
      </c>
      <c r="D104" s="59">
        <v>0.04</v>
      </c>
      <c r="E104" s="13">
        <v>1.4</v>
      </c>
      <c r="F104" s="48" t="s">
        <v>4</v>
      </c>
      <c r="G104" s="50">
        <f t="shared" si="5"/>
        <v>1.4</v>
      </c>
      <c r="H104" s="48">
        <v>0</v>
      </c>
      <c r="I104" s="17">
        <f t="shared" si="6"/>
        <v>1.4</v>
      </c>
      <c r="J104" s="17">
        <f t="shared" si="4"/>
        <v>1.3599999999999999</v>
      </c>
      <c r="K104" s="17">
        <f t="shared" si="7"/>
        <v>1.3599999999999999</v>
      </c>
      <c r="L104" s="23" t="s">
        <v>362</v>
      </c>
    </row>
    <row r="105" spans="1:12" s="101" customFormat="1" ht="15">
      <c r="A105" s="48">
        <v>87</v>
      </c>
      <c r="B105" s="84" t="s">
        <v>105</v>
      </c>
      <c r="C105" s="49" t="s">
        <v>151</v>
      </c>
      <c r="D105" s="17">
        <v>0.4</v>
      </c>
      <c r="E105" s="13">
        <v>1.56</v>
      </c>
      <c r="F105" s="48" t="s">
        <v>4</v>
      </c>
      <c r="G105" s="50">
        <f t="shared" si="5"/>
        <v>1.56</v>
      </c>
      <c r="H105" s="48">
        <v>0</v>
      </c>
      <c r="I105" s="17">
        <f t="shared" si="6"/>
        <v>1.56</v>
      </c>
      <c r="J105" s="17">
        <f t="shared" si="4"/>
        <v>1.1600000000000001</v>
      </c>
      <c r="K105" s="17">
        <f t="shared" si="7"/>
        <v>1.1600000000000001</v>
      </c>
      <c r="L105" s="23" t="s">
        <v>362</v>
      </c>
    </row>
    <row r="106" spans="1:12" s="101" customFormat="1" ht="15">
      <c r="A106" s="48">
        <v>88</v>
      </c>
      <c r="B106" s="84" t="s">
        <v>106</v>
      </c>
      <c r="C106" s="49" t="s">
        <v>151</v>
      </c>
      <c r="D106" s="17">
        <v>0.5</v>
      </c>
      <c r="E106" s="13">
        <v>0.97</v>
      </c>
      <c r="F106" s="48" t="s">
        <v>4</v>
      </c>
      <c r="G106" s="50">
        <f t="shared" si="5"/>
        <v>0.97</v>
      </c>
      <c r="H106" s="48">
        <v>0</v>
      </c>
      <c r="I106" s="17">
        <f t="shared" si="6"/>
        <v>0.97</v>
      </c>
      <c r="J106" s="17">
        <f t="shared" si="4"/>
        <v>0.47</v>
      </c>
      <c r="K106" s="17">
        <f t="shared" si="7"/>
        <v>0.47</v>
      </c>
      <c r="L106" s="23" t="s">
        <v>362</v>
      </c>
    </row>
    <row r="107" spans="1:12" s="101" customFormat="1" ht="15">
      <c r="A107" s="48">
        <v>89</v>
      </c>
      <c r="B107" s="84" t="s">
        <v>107</v>
      </c>
      <c r="C107" s="49" t="s">
        <v>155</v>
      </c>
      <c r="D107" s="17">
        <v>0.49</v>
      </c>
      <c r="E107" s="13">
        <v>0.64</v>
      </c>
      <c r="F107" s="48" t="s">
        <v>4</v>
      </c>
      <c r="G107" s="50">
        <f t="shared" si="5"/>
        <v>0.64</v>
      </c>
      <c r="H107" s="48">
        <v>0</v>
      </c>
      <c r="I107" s="17">
        <f t="shared" si="6"/>
        <v>0.64</v>
      </c>
      <c r="J107" s="17">
        <f t="shared" si="4"/>
        <v>0.15000000000000002</v>
      </c>
      <c r="K107" s="17">
        <f t="shared" si="7"/>
        <v>0.15000000000000002</v>
      </c>
      <c r="L107" s="23" t="s">
        <v>362</v>
      </c>
    </row>
    <row r="108" spans="1:12" s="101" customFormat="1" ht="15">
      <c r="A108" s="48">
        <v>90</v>
      </c>
      <c r="B108" s="84" t="s">
        <v>108</v>
      </c>
      <c r="C108" s="49" t="s">
        <v>155</v>
      </c>
      <c r="D108" s="17">
        <v>1.46</v>
      </c>
      <c r="E108" s="17">
        <v>2.97</v>
      </c>
      <c r="F108" s="48" t="s">
        <v>4</v>
      </c>
      <c r="G108" s="50">
        <f t="shared" si="5"/>
        <v>2.97</v>
      </c>
      <c r="H108" s="48">
        <v>0</v>
      </c>
      <c r="I108" s="17">
        <f t="shared" si="6"/>
        <v>2.97</v>
      </c>
      <c r="J108" s="17">
        <f t="shared" si="4"/>
        <v>1.5100000000000002</v>
      </c>
      <c r="K108" s="17">
        <f t="shared" si="7"/>
        <v>1.5100000000000002</v>
      </c>
      <c r="L108" s="23" t="s">
        <v>362</v>
      </c>
    </row>
    <row r="109" spans="1:12" s="101" customFormat="1" ht="15">
      <c r="A109" s="48">
        <v>91</v>
      </c>
      <c r="B109" s="84" t="s">
        <v>109</v>
      </c>
      <c r="C109" s="49" t="s">
        <v>151</v>
      </c>
      <c r="D109" s="17">
        <v>0.6</v>
      </c>
      <c r="E109" s="13">
        <v>2.32</v>
      </c>
      <c r="F109" s="48" t="s">
        <v>4</v>
      </c>
      <c r="G109" s="50">
        <f t="shared" si="5"/>
        <v>2.32</v>
      </c>
      <c r="H109" s="48">
        <v>0</v>
      </c>
      <c r="I109" s="17">
        <f t="shared" si="6"/>
        <v>2.32</v>
      </c>
      <c r="J109" s="17">
        <f t="shared" si="4"/>
        <v>1.7199999999999998</v>
      </c>
      <c r="K109" s="17">
        <f t="shared" si="7"/>
        <v>1.7199999999999998</v>
      </c>
      <c r="L109" s="23" t="s">
        <v>362</v>
      </c>
    </row>
    <row r="110" spans="1:12" s="101" customFormat="1" ht="15">
      <c r="A110" s="48">
        <v>92</v>
      </c>
      <c r="B110" s="84" t="s">
        <v>110</v>
      </c>
      <c r="C110" s="49" t="s">
        <v>151</v>
      </c>
      <c r="D110" s="59">
        <v>0.15</v>
      </c>
      <c r="E110" s="13">
        <v>1.4</v>
      </c>
      <c r="F110" s="48" t="s">
        <v>4</v>
      </c>
      <c r="G110" s="50">
        <f t="shared" si="5"/>
        <v>1.4</v>
      </c>
      <c r="H110" s="48">
        <v>0</v>
      </c>
      <c r="I110" s="17">
        <f t="shared" si="6"/>
        <v>1.4</v>
      </c>
      <c r="J110" s="17">
        <f t="shared" si="4"/>
        <v>1.25</v>
      </c>
      <c r="K110" s="17">
        <f t="shared" si="7"/>
        <v>1.25</v>
      </c>
      <c r="L110" s="23" t="s">
        <v>362</v>
      </c>
    </row>
    <row r="111" spans="1:12" s="101" customFormat="1" ht="15">
      <c r="A111" s="48">
        <v>93</v>
      </c>
      <c r="B111" s="84" t="s">
        <v>111</v>
      </c>
      <c r="C111" s="49" t="s">
        <v>151</v>
      </c>
      <c r="D111" s="59">
        <v>0.2</v>
      </c>
      <c r="E111" s="13">
        <v>1.4</v>
      </c>
      <c r="F111" s="48" t="s">
        <v>4</v>
      </c>
      <c r="G111" s="50">
        <f t="shared" si="5"/>
        <v>1.4</v>
      </c>
      <c r="H111" s="48">
        <v>0</v>
      </c>
      <c r="I111" s="17">
        <f t="shared" si="6"/>
        <v>1.4</v>
      </c>
      <c r="J111" s="17">
        <f t="shared" si="4"/>
        <v>1.2</v>
      </c>
      <c r="K111" s="17">
        <f t="shared" si="7"/>
        <v>1.2</v>
      </c>
      <c r="L111" s="23" t="s">
        <v>362</v>
      </c>
    </row>
    <row r="112" spans="1:12" s="101" customFormat="1" ht="15">
      <c r="A112" s="48">
        <v>94</v>
      </c>
      <c r="B112" s="84" t="s">
        <v>112</v>
      </c>
      <c r="C112" s="49" t="s">
        <v>150</v>
      </c>
      <c r="D112" s="17">
        <v>1.03</v>
      </c>
      <c r="E112" s="13">
        <v>2.15</v>
      </c>
      <c r="F112" s="48" t="s">
        <v>4</v>
      </c>
      <c r="G112" s="50">
        <f t="shared" si="5"/>
        <v>2.15</v>
      </c>
      <c r="H112" s="48">
        <v>0</v>
      </c>
      <c r="I112" s="17">
        <f t="shared" si="6"/>
        <v>2.15</v>
      </c>
      <c r="J112" s="17">
        <f t="shared" si="4"/>
        <v>1.1199999999999999</v>
      </c>
      <c r="K112" s="17">
        <f t="shared" si="7"/>
        <v>1.1199999999999999</v>
      </c>
      <c r="L112" s="23" t="s">
        <v>362</v>
      </c>
    </row>
    <row r="113" spans="1:12" s="101" customFormat="1" ht="15">
      <c r="A113" s="48">
        <v>95</v>
      </c>
      <c r="B113" s="84" t="s">
        <v>113</v>
      </c>
      <c r="C113" s="49" t="s">
        <v>151</v>
      </c>
      <c r="D113" s="59">
        <v>0.04</v>
      </c>
      <c r="E113" s="13">
        <v>0.74</v>
      </c>
      <c r="F113" s="48" t="s">
        <v>4</v>
      </c>
      <c r="G113" s="50">
        <f t="shared" si="5"/>
        <v>0.74</v>
      </c>
      <c r="H113" s="48">
        <v>0</v>
      </c>
      <c r="I113" s="17">
        <f t="shared" si="6"/>
        <v>0.74</v>
      </c>
      <c r="J113" s="17">
        <f t="shared" si="4"/>
        <v>0.7</v>
      </c>
      <c r="K113" s="17">
        <f t="shared" si="7"/>
        <v>0.7</v>
      </c>
      <c r="L113" s="23" t="s">
        <v>362</v>
      </c>
    </row>
    <row r="114" spans="1:12" s="101" customFormat="1" ht="15">
      <c r="A114" s="48">
        <v>96</v>
      </c>
      <c r="B114" s="84" t="s">
        <v>114</v>
      </c>
      <c r="C114" s="49" t="s">
        <v>151</v>
      </c>
      <c r="D114" s="17">
        <v>0.19</v>
      </c>
      <c r="E114" s="13">
        <v>2.15</v>
      </c>
      <c r="F114" s="48" t="s">
        <v>4</v>
      </c>
      <c r="G114" s="50">
        <f t="shared" si="5"/>
        <v>2.15</v>
      </c>
      <c r="H114" s="48">
        <v>0</v>
      </c>
      <c r="I114" s="17">
        <f t="shared" si="6"/>
        <v>2.15</v>
      </c>
      <c r="J114" s="17">
        <f t="shared" si="4"/>
        <v>1.96</v>
      </c>
      <c r="K114" s="17">
        <f t="shared" si="7"/>
        <v>1.96</v>
      </c>
      <c r="L114" s="23" t="s">
        <v>362</v>
      </c>
    </row>
    <row r="115" spans="1:12" s="101" customFormat="1" ht="15">
      <c r="A115" s="48">
        <v>97</v>
      </c>
      <c r="B115" s="84" t="s">
        <v>115</v>
      </c>
      <c r="C115" s="49" t="s">
        <v>156</v>
      </c>
      <c r="D115" s="17">
        <v>0.35</v>
      </c>
      <c r="E115" s="13">
        <v>2.15</v>
      </c>
      <c r="F115" s="48" t="s">
        <v>4</v>
      </c>
      <c r="G115" s="50">
        <f t="shared" si="5"/>
        <v>2.15</v>
      </c>
      <c r="H115" s="48">
        <v>0</v>
      </c>
      <c r="I115" s="17">
        <f t="shared" si="6"/>
        <v>2.15</v>
      </c>
      <c r="J115" s="17">
        <f t="shared" si="4"/>
        <v>1.7999999999999998</v>
      </c>
      <c r="K115" s="17">
        <f t="shared" si="7"/>
        <v>1.7999999999999998</v>
      </c>
      <c r="L115" s="23" t="s">
        <v>362</v>
      </c>
    </row>
    <row r="116" spans="1:12" s="101" customFormat="1" ht="15">
      <c r="A116" s="48">
        <v>98</v>
      </c>
      <c r="B116" s="84" t="s">
        <v>116</v>
      </c>
      <c r="C116" s="49" t="s">
        <v>155</v>
      </c>
      <c r="D116" s="17">
        <v>2.2</v>
      </c>
      <c r="E116" s="13">
        <v>3.3</v>
      </c>
      <c r="F116" s="48" t="s">
        <v>4</v>
      </c>
      <c r="G116" s="50">
        <f t="shared" si="5"/>
        <v>3.3</v>
      </c>
      <c r="H116" s="48">
        <v>0</v>
      </c>
      <c r="I116" s="17">
        <f t="shared" si="6"/>
        <v>3.3</v>
      </c>
      <c r="J116" s="17">
        <f t="shared" si="4"/>
        <v>1.0999999999999996</v>
      </c>
      <c r="K116" s="17">
        <f t="shared" si="7"/>
        <v>1.0999999999999996</v>
      </c>
      <c r="L116" s="23" t="s">
        <v>362</v>
      </c>
    </row>
    <row r="117" spans="1:12" s="101" customFormat="1" ht="15">
      <c r="A117" s="48">
        <v>99</v>
      </c>
      <c r="B117" s="84" t="s">
        <v>117</v>
      </c>
      <c r="C117" s="49" t="s">
        <v>155</v>
      </c>
      <c r="D117" s="17">
        <v>0</v>
      </c>
      <c r="E117" s="13">
        <v>0.74</v>
      </c>
      <c r="F117" s="48" t="s">
        <v>4</v>
      </c>
      <c r="G117" s="50">
        <f t="shared" si="5"/>
        <v>0.74</v>
      </c>
      <c r="H117" s="48">
        <v>0</v>
      </c>
      <c r="I117" s="17">
        <f t="shared" si="6"/>
        <v>0.74</v>
      </c>
      <c r="J117" s="17">
        <f t="shared" si="4"/>
        <v>0.74</v>
      </c>
      <c r="K117" s="17">
        <f t="shared" si="7"/>
        <v>0.74</v>
      </c>
      <c r="L117" s="23" t="s">
        <v>362</v>
      </c>
    </row>
    <row r="118" spans="1:12" s="101" customFormat="1" ht="15">
      <c r="A118" s="48">
        <v>100</v>
      </c>
      <c r="B118" s="84" t="s">
        <v>118</v>
      </c>
      <c r="C118" s="49" t="s">
        <v>151</v>
      </c>
      <c r="D118" s="63">
        <v>0.44</v>
      </c>
      <c r="E118" s="17">
        <v>1.1</v>
      </c>
      <c r="F118" s="48" t="s">
        <v>4</v>
      </c>
      <c r="G118" s="50">
        <f t="shared" si="5"/>
        <v>1.1</v>
      </c>
      <c r="H118" s="48">
        <v>0</v>
      </c>
      <c r="I118" s="17">
        <f t="shared" si="6"/>
        <v>1.1</v>
      </c>
      <c r="J118" s="17">
        <f t="shared" si="4"/>
        <v>0.6600000000000001</v>
      </c>
      <c r="K118" s="17">
        <f t="shared" si="7"/>
        <v>0.6600000000000001</v>
      </c>
      <c r="L118" s="23" t="s">
        <v>362</v>
      </c>
    </row>
    <row r="119" spans="1:12" s="101" customFormat="1" ht="15">
      <c r="A119" s="48">
        <v>101</v>
      </c>
      <c r="B119" s="84" t="s">
        <v>119</v>
      </c>
      <c r="C119" s="49" t="s">
        <v>156</v>
      </c>
      <c r="D119" s="17">
        <v>1.16</v>
      </c>
      <c r="E119" s="13">
        <v>1.6</v>
      </c>
      <c r="F119" s="48" t="s">
        <v>4</v>
      </c>
      <c r="G119" s="50">
        <f t="shared" si="5"/>
        <v>1.6</v>
      </c>
      <c r="H119" s="48">
        <v>0</v>
      </c>
      <c r="I119" s="17">
        <f t="shared" si="6"/>
        <v>1.6</v>
      </c>
      <c r="J119" s="17">
        <f t="shared" si="4"/>
        <v>0.44000000000000017</v>
      </c>
      <c r="K119" s="17">
        <f t="shared" si="7"/>
        <v>0.44000000000000017</v>
      </c>
      <c r="L119" s="23" t="s">
        <v>362</v>
      </c>
    </row>
    <row r="120" spans="1:12" s="101" customFormat="1" ht="15">
      <c r="A120" s="48">
        <v>102</v>
      </c>
      <c r="B120" s="84" t="s">
        <v>120</v>
      </c>
      <c r="C120" s="49" t="s">
        <v>151</v>
      </c>
      <c r="D120" s="59">
        <v>0.18</v>
      </c>
      <c r="E120" s="13">
        <v>0.7</v>
      </c>
      <c r="F120" s="48" t="s">
        <v>4</v>
      </c>
      <c r="G120" s="50">
        <f t="shared" si="5"/>
        <v>0.7</v>
      </c>
      <c r="H120" s="48">
        <v>0</v>
      </c>
      <c r="I120" s="17">
        <f t="shared" si="6"/>
        <v>0.7</v>
      </c>
      <c r="J120" s="17">
        <f t="shared" si="4"/>
        <v>0.52</v>
      </c>
      <c r="K120" s="17">
        <f t="shared" si="7"/>
        <v>0.52</v>
      </c>
      <c r="L120" s="23" t="s">
        <v>362</v>
      </c>
    </row>
    <row r="121" spans="1:12" s="101" customFormat="1" ht="15">
      <c r="A121" s="48">
        <v>103</v>
      </c>
      <c r="B121" s="84" t="s">
        <v>121</v>
      </c>
      <c r="C121" s="49" t="s">
        <v>155</v>
      </c>
      <c r="D121" s="17">
        <v>0.38</v>
      </c>
      <c r="E121" s="13">
        <v>2.3</v>
      </c>
      <c r="F121" s="48" t="s">
        <v>4</v>
      </c>
      <c r="G121" s="50">
        <f t="shared" si="5"/>
        <v>2.3</v>
      </c>
      <c r="H121" s="48">
        <v>0</v>
      </c>
      <c r="I121" s="17">
        <f t="shared" si="6"/>
        <v>2.3</v>
      </c>
      <c r="J121" s="17">
        <f t="shared" si="4"/>
        <v>1.92</v>
      </c>
      <c r="K121" s="17">
        <f t="shared" si="7"/>
        <v>1.92</v>
      </c>
      <c r="L121" s="23" t="s">
        <v>362</v>
      </c>
    </row>
    <row r="122" spans="1:12" s="101" customFormat="1" ht="15">
      <c r="A122" s="48">
        <v>104</v>
      </c>
      <c r="B122" s="84" t="s">
        <v>122</v>
      </c>
      <c r="C122" s="49" t="s">
        <v>151</v>
      </c>
      <c r="D122" s="17">
        <v>0.4</v>
      </c>
      <c r="E122" s="13">
        <v>1.31</v>
      </c>
      <c r="F122" s="48" t="s">
        <v>4</v>
      </c>
      <c r="G122" s="50">
        <f t="shared" si="5"/>
        <v>1.31</v>
      </c>
      <c r="H122" s="48">
        <v>0</v>
      </c>
      <c r="I122" s="17">
        <f t="shared" si="6"/>
        <v>1.31</v>
      </c>
      <c r="J122" s="17">
        <f t="shared" si="4"/>
        <v>0.91</v>
      </c>
      <c r="K122" s="17">
        <f t="shared" si="7"/>
        <v>0.91</v>
      </c>
      <c r="L122" s="23" t="s">
        <v>362</v>
      </c>
    </row>
    <row r="123" spans="1:12" s="101" customFormat="1" ht="15">
      <c r="A123" s="48">
        <v>105</v>
      </c>
      <c r="B123" s="84" t="s">
        <v>123</v>
      </c>
      <c r="C123" s="49" t="s">
        <v>154</v>
      </c>
      <c r="D123" s="17">
        <v>0.23</v>
      </c>
      <c r="E123" s="13">
        <v>1.43</v>
      </c>
      <c r="F123" s="48" t="s">
        <v>4</v>
      </c>
      <c r="G123" s="50">
        <f t="shared" si="5"/>
        <v>1.43</v>
      </c>
      <c r="H123" s="48">
        <v>0</v>
      </c>
      <c r="I123" s="17">
        <f t="shared" si="6"/>
        <v>1.43</v>
      </c>
      <c r="J123" s="17">
        <f t="shared" si="4"/>
        <v>1.2</v>
      </c>
      <c r="K123" s="17">
        <f t="shared" si="7"/>
        <v>1.2</v>
      </c>
      <c r="L123" s="23" t="s">
        <v>362</v>
      </c>
    </row>
    <row r="124" spans="1:12" s="101" customFormat="1" ht="15">
      <c r="A124" s="48">
        <v>106</v>
      </c>
      <c r="B124" s="84" t="s">
        <v>124</v>
      </c>
      <c r="C124" s="49" t="s">
        <v>151</v>
      </c>
      <c r="D124" s="59">
        <v>0.42</v>
      </c>
      <c r="E124" s="13">
        <v>0.94</v>
      </c>
      <c r="F124" s="48" t="s">
        <v>4</v>
      </c>
      <c r="G124" s="50">
        <f t="shared" si="5"/>
        <v>0.94</v>
      </c>
      <c r="H124" s="48">
        <v>0</v>
      </c>
      <c r="I124" s="17">
        <f t="shared" si="6"/>
        <v>0.94</v>
      </c>
      <c r="J124" s="17">
        <f t="shared" si="4"/>
        <v>0.52</v>
      </c>
      <c r="K124" s="17">
        <f t="shared" si="7"/>
        <v>0.52</v>
      </c>
      <c r="L124" s="23" t="s">
        <v>362</v>
      </c>
    </row>
    <row r="125" spans="1:12" s="101" customFormat="1" ht="15">
      <c r="A125" s="48">
        <v>107</v>
      </c>
      <c r="B125" s="84" t="s">
        <v>125</v>
      </c>
      <c r="C125" s="49" t="s">
        <v>156</v>
      </c>
      <c r="D125" s="17">
        <v>0.53</v>
      </c>
      <c r="E125" s="13">
        <v>1.15</v>
      </c>
      <c r="F125" s="48" t="s">
        <v>4</v>
      </c>
      <c r="G125" s="50">
        <f t="shared" si="5"/>
        <v>1.15</v>
      </c>
      <c r="H125" s="48">
        <v>0</v>
      </c>
      <c r="I125" s="17">
        <f t="shared" si="6"/>
        <v>1.15</v>
      </c>
      <c r="J125" s="17">
        <f t="shared" si="4"/>
        <v>0.6199999999999999</v>
      </c>
      <c r="K125" s="17">
        <f t="shared" si="7"/>
        <v>0.6199999999999999</v>
      </c>
      <c r="L125" s="23" t="s">
        <v>362</v>
      </c>
    </row>
    <row r="126" spans="1:12" s="101" customFormat="1" ht="15">
      <c r="A126" s="48">
        <v>108</v>
      </c>
      <c r="B126" s="84" t="s">
        <v>126</v>
      </c>
      <c r="C126" s="49" t="s">
        <v>151</v>
      </c>
      <c r="D126" s="17">
        <v>0.3</v>
      </c>
      <c r="E126" s="13">
        <v>1.25</v>
      </c>
      <c r="F126" s="48" t="s">
        <v>4</v>
      </c>
      <c r="G126" s="50">
        <f t="shared" si="5"/>
        <v>1.25</v>
      </c>
      <c r="H126" s="48">
        <v>0</v>
      </c>
      <c r="I126" s="17">
        <f t="shared" si="6"/>
        <v>1.25</v>
      </c>
      <c r="J126" s="17">
        <f t="shared" si="4"/>
        <v>0.95</v>
      </c>
      <c r="K126" s="17">
        <f t="shared" si="7"/>
        <v>0.95</v>
      </c>
      <c r="L126" s="23" t="s">
        <v>362</v>
      </c>
    </row>
    <row r="127" spans="1:12" s="101" customFormat="1" ht="15">
      <c r="A127" s="48">
        <v>109</v>
      </c>
      <c r="B127" s="84" t="s">
        <v>127</v>
      </c>
      <c r="C127" s="49" t="s">
        <v>151</v>
      </c>
      <c r="D127" s="17">
        <v>0.3</v>
      </c>
      <c r="E127" s="13">
        <v>2.7</v>
      </c>
      <c r="F127" s="48" t="s">
        <v>4</v>
      </c>
      <c r="G127" s="50">
        <f t="shared" si="5"/>
        <v>2.7</v>
      </c>
      <c r="H127" s="48">
        <v>0</v>
      </c>
      <c r="I127" s="17">
        <f t="shared" si="6"/>
        <v>2.7</v>
      </c>
      <c r="J127" s="17">
        <f t="shared" si="4"/>
        <v>2.4000000000000004</v>
      </c>
      <c r="K127" s="17">
        <f t="shared" si="7"/>
        <v>2.4000000000000004</v>
      </c>
      <c r="L127" s="23" t="s">
        <v>362</v>
      </c>
    </row>
    <row r="128" spans="1:12" s="101" customFormat="1" ht="15">
      <c r="A128" s="48">
        <v>110</v>
      </c>
      <c r="B128" s="84" t="s">
        <v>128</v>
      </c>
      <c r="C128" s="49" t="s">
        <v>151</v>
      </c>
      <c r="D128" s="17">
        <v>0.25</v>
      </c>
      <c r="E128" s="13">
        <v>1.43</v>
      </c>
      <c r="F128" s="48" t="s">
        <v>4</v>
      </c>
      <c r="G128" s="50">
        <f t="shared" si="5"/>
        <v>1.43</v>
      </c>
      <c r="H128" s="48">
        <v>0</v>
      </c>
      <c r="I128" s="17">
        <f t="shared" si="6"/>
        <v>1.43</v>
      </c>
      <c r="J128" s="17">
        <f t="shared" si="4"/>
        <v>1.18</v>
      </c>
      <c r="K128" s="17">
        <f t="shared" si="7"/>
        <v>1.18</v>
      </c>
      <c r="L128" s="23" t="s">
        <v>362</v>
      </c>
    </row>
    <row r="129" spans="1:12" s="101" customFormat="1" ht="15">
      <c r="A129" s="48">
        <v>111</v>
      </c>
      <c r="B129" s="84" t="s">
        <v>129</v>
      </c>
      <c r="C129" s="49" t="s">
        <v>151</v>
      </c>
      <c r="D129" s="17">
        <v>0.88</v>
      </c>
      <c r="E129" s="13">
        <v>1.76</v>
      </c>
      <c r="F129" s="48" t="s">
        <v>4</v>
      </c>
      <c r="G129" s="50">
        <f t="shared" si="5"/>
        <v>1.76</v>
      </c>
      <c r="H129" s="48">
        <v>0</v>
      </c>
      <c r="I129" s="17">
        <f t="shared" si="6"/>
        <v>1.76</v>
      </c>
      <c r="J129" s="17">
        <f t="shared" si="4"/>
        <v>0.88</v>
      </c>
      <c r="K129" s="17">
        <f t="shared" si="7"/>
        <v>0.88</v>
      </c>
      <c r="L129" s="23" t="s">
        <v>362</v>
      </c>
    </row>
    <row r="130" spans="1:12" s="101" customFormat="1" ht="15">
      <c r="A130" s="48">
        <v>112</v>
      </c>
      <c r="B130" s="84" t="s">
        <v>130</v>
      </c>
      <c r="C130" s="49" t="s">
        <v>156</v>
      </c>
      <c r="D130" s="17">
        <v>0.28</v>
      </c>
      <c r="E130" s="13">
        <v>1.1</v>
      </c>
      <c r="F130" s="48" t="s">
        <v>4</v>
      </c>
      <c r="G130" s="50">
        <f t="shared" si="5"/>
        <v>1.1</v>
      </c>
      <c r="H130" s="48">
        <v>0</v>
      </c>
      <c r="I130" s="17">
        <f t="shared" si="6"/>
        <v>1.1</v>
      </c>
      <c r="J130" s="17">
        <f t="shared" si="4"/>
        <v>0.8200000000000001</v>
      </c>
      <c r="K130" s="17">
        <f t="shared" si="7"/>
        <v>0.8200000000000001</v>
      </c>
      <c r="L130" s="23" t="s">
        <v>362</v>
      </c>
    </row>
    <row r="131" spans="1:12" s="101" customFormat="1" ht="15">
      <c r="A131" s="48">
        <v>113</v>
      </c>
      <c r="B131" s="84" t="s">
        <v>131</v>
      </c>
      <c r="C131" s="49" t="s">
        <v>151</v>
      </c>
      <c r="D131" s="17">
        <v>0.45</v>
      </c>
      <c r="E131" s="13">
        <v>1.4</v>
      </c>
      <c r="F131" s="48" t="s">
        <v>4</v>
      </c>
      <c r="G131" s="50">
        <f t="shared" si="5"/>
        <v>1.4</v>
      </c>
      <c r="H131" s="48">
        <v>0</v>
      </c>
      <c r="I131" s="17">
        <f t="shared" si="6"/>
        <v>1.4</v>
      </c>
      <c r="J131" s="17">
        <f aca="true" t="shared" si="8" ref="J131:J147">I131-D131</f>
        <v>0.95</v>
      </c>
      <c r="K131" s="17">
        <f t="shared" si="7"/>
        <v>0.95</v>
      </c>
      <c r="L131" s="23" t="s">
        <v>362</v>
      </c>
    </row>
    <row r="132" spans="1:12" s="101" customFormat="1" ht="15">
      <c r="A132" s="48">
        <v>114</v>
      </c>
      <c r="B132" s="84" t="s">
        <v>132</v>
      </c>
      <c r="C132" s="49" t="s">
        <v>151</v>
      </c>
      <c r="D132" s="17">
        <v>0.35</v>
      </c>
      <c r="E132" s="13">
        <v>1.3</v>
      </c>
      <c r="F132" s="48" t="s">
        <v>4</v>
      </c>
      <c r="G132" s="50">
        <f aca="true" t="shared" si="9" ref="G132:G147">E132</f>
        <v>1.3</v>
      </c>
      <c r="H132" s="48">
        <v>0</v>
      </c>
      <c r="I132" s="17">
        <f aca="true" t="shared" si="10" ref="I132:I147">G132-H132</f>
        <v>1.3</v>
      </c>
      <c r="J132" s="17">
        <f t="shared" si="8"/>
        <v>0.9500000000000001</v>
      </c>
      <c r="K132" s="17">
        <f t="shared" si="7"/>
        <v>0.9500000000000001</v>
      </c>
      <c r="L132" s="23" t="s">
        <v>362</v>
      </c>
    </row>
    <row r="133" spans="1:12" s="101" customFormat="1" ht="15">
      <c r="A133" s="48">
        <v>115</v>
      </c>
      <c r="B133" s="84" t="s">
        <v>133</v>
      </c>
      <c r="C133" s="49" t="s">
        <v>151</v>
      </c>
      <c r="D133" s="17">
        <v>0.6</v>
      </c>
      <c r="E133" s="13">
        <v>1.34</v>
      </c>
      <c r="F133" s="48" t="s">
        <v>4</v>
      </c>
      <c r="G133" s="50">
        <f t="shared" si="9"/>
        <v>1.34</v>
      </c>
      <c r="H133" s="48">
        <v>0</v>
      </c>
      <c r="I133" s="17">
        <f t="shared" si="10"/>
        <v>1.34</v>
      </c>
      <c r="J133" s="17">
        <f t="shared" si="8"/>
        <v>0.7400000000000001</v>
      </c>
      <c r="K133" s="17">
        <f t="shared" si="7"/>
        <v>0.7400000000000001</v>
      </c>
      <c r="L133" s="23" t="s">
        <v>362</v>
      </c>
    </row>
    <row r="134" spans="1:12" s="101" customFormat="1" ht="15">
      <c r="A134" s="48">
        <v>116</v>
      </c>
      <c r="B134" s="84" t="s">
        <v>134</v>
      </c>
      <c r="C134" s="49" t="s">
        <v>156</v>
      </c>
      <c r="D134" s="17">
        <v>0.54</v>
      </c>
      <c r="E134" s="13">
        <v>0.71</v>
      </c>
      <c r="F134" s="48" t="s">
        <v>4</v>
      </c>
      <c r="G134" s="50">
        <f t="shared" si="9"/>
        <v>0.71</v>
      </c>
      <c r="H134" s="48">
        <v>0</v>
      </c>
      <c r="I134" s="17">
        <f t="shared" si="10"/>
        <v>0.71</v>
      </c>
      <c r="J134" s="17">
        <f t="shared" si="8"/>
        <v>0.16999999999999993</v>
      </c>
      <c r="K134" s="17">
        <f t="shared" si="7"/>
        <v>0.16999999999999993</v>
      </c>
      <c r="L134" s="23" t="s">
        <v>362</v>
      </c>
    </row>
    <row r="135" spans="1:12" s="101" customFormat="1" ht="15">
      <c r="A135" s="48">
        <v>117</v>
      </c>
      <c r="B135" s="84" t="s">
        <v>135</v>
      </c>
      <c r="C135" s="49" t="s">
        <v>151</v>
      </c>
      <c r="D135" s="17">
        <v>0.8</v>
      </c>
      <c r="E135" s="13">
        <v>1.15</v>
      </c>
      <c r="F135" s="48" t="s">
        <v>4</v>
      </c>
      <c r="G135" s="50">
        <f t="shared" si="9"/>
        <v>1.15</v>
      </c>
      <c r="H135" s="48">
        <v>0</v>
      </c>
      <c r="I135" s="17">
        <f t="shared" si="10"/>
        <v>1.15</v>
      </c>
      <c r="J135" s="17">
        <f t="shared" si="8"/>
        <v>0.34999999999999987</v>
      </c>
      <c r="K135" s="17">
        <f t="shared" si="7"/>
        <v>0.34999999999999987</v>
      </c>
      <c r="L135" s="23" t="s">
        <v>362</v>
      </c>
    </row>
    <row r="136" spans="1:12" s="101" customFormat="1" ht="15">
      <c r="A136" s="48">
        <v>118</v>
      </c>
      <c r="B136" s="84" t="s">
        <v>136</v>
      </c>
      <c r="C136" s="49" t="s">
        <v>151</v>
      </c>
      <c r="D136" s="17">
        <v>0.36</v>
      </c>
      <c r="E136" s="13">
        <v>1.43</v>
      </c>
      <c r="F136" s="48" t="s">
        <v>4</v>
      </c>
      <c r="G136" s="50">
        <f t="shared" si="9"/>
        <v>1.43</v>
      </c>
      <c r="H136" s="48">
        <v>0</v>
      </c>
      <c r="I136" s="17">
        <f t="shared" si="10"/>
        <v>1.43</v>
      </c>
      <c r="J136" s="17">
        <f t="shared" si="8"/>
        <v>1.0699999999999998</v>
      </c>
      <c r="K136" s="17">
        <f t="shared" si="7"/>
        <v>1.0699999999999998</v>
      </c>
      <c r="L136" s="23" t="s">
        <v>362</v>
      </c>
    </row>
    <row r="137" spans="1:12" s="101" customFormat="1" ht="15">
      <c r="A137" s="48">
        <v>119</v>
      </c>
      <c r="B137" s="84" t="s">
        <v>137</v>
      </c>
      <c r="C137" s="49" t="s">
        <v>151</v>
      </c>
      <c r="D137" s="61">
        <v>0.07</v>
      </c>
      <c r="E137" s="13">
        <v>0.7</v>
      </c>
      <c r="F137" s="48" t="s">
        <v>4</v>
      </c>
      <c r="G137" s="50">
        <f t="shared" si="9"/>
        <v>0.7</v>
      </c>
      <c r="H137" s="48">
        <v>0</v>
      </c>
      <c r="I137" s="17">
        <f t="shared" si="10"/>
        <v>0.7</v>
      </c>
      <c r="J137" s="17">
        <f t="shared" si="8"/>
        <v>0.6299999999999999</v>
      </c>
      <c r="K137" s="17">
        <f t="shared" si="7"/>
        <v>0.6299999999999999</v>
      </c>
      <c r="L137" s="23" t="s">
        <v>362</v>
      </c>
    </row>
    <row r="138" spans="1:12" s="101" customFormat="1" ht="15">
      <c r="A138" s="48">
        <v>120</v>
      </c>
      <c r="B138" s="84" t="s">
        <v>138</v>
      </c>
      <c r="C138" s="49" t="s">
        <v>156</v>
      </c>
      <c r="D138" s="17">
        <v>0.18</v>
      </c>
      <c r="E138" s="13">
        <v>1.72</v>
      </c>
      <c r="F138" s="48" t="s">
        <v>4</v>
      </c>
      <c r="G138" s="50">
        <f t="shared" si="9"/>
        <v>1.72</v>
      </c>
      <c r="H138" s="48">
        <v>0</v>
      </c>
      <c r="I138" s="17">
        <f t="shared" si="10"/>
        <v>1.72</v>
      </c>
      <c r="J138" s="17">
        <f t="shared" si="8"/>
        <v>1.54</v>
      </c>
      <c r="K138" s="17">
        <f t="shared" si="7"/>
        <v>1.54</v>
      </c>
      <c r="L138" s="23" t="s">
        <v>362</v>
      </c>
    </row>
    <row r="139" spans="1:12" s="101" customFormat="1" ht="15">
      <c r="A139" s="48">
        <v>121</v>
      </c>
      <c r="B139" s="84" t="s">
        <v>139</v>
      </c>
      <c r="C139" s="49" t="s">
        <v>151</v>
      </c>
      <c r="D139" s="17">
        <v>0.34</v>
      </c>
      <c r="E139" s="13">
        <v>1.1</v>
      </c>
      <c r="F139" s="48" t="s">
        <v>4</v>
      </c>
      <c r="G139" s="50">
        <f t="shared" si="9"/>
        <v>1.1</v>
      </c>
      <c r="H139" s="48">
        <v>0</v>
      </c>
      <c r="I139" s="17">
        <f t="shared" si="10"/>
        <v>1.1</v>
      </c>
      <c r="J139" s="17">
        <f t="shared" si="8"/>
        <v>0.76</v>
      </c>
      <c r="K139" s="17">
        <f t="shared" si="7"/>
        <v>0.76</v>
      </c>
      <c r="L139" s="23" t="s">
        <v>362</v>
      </c>
    </row>
    <row r="140" spans="1:12" s="101" customFormat="1" ht="15">
      <c r="A140" s="48">
        <v>122</v>
      </c>
      <c r="B140" s="84" t="s">
        <v>140</v>
      </c>
      <c r="C140" s="49" t="s">
        <v>156</v>
      </c>
      <c r="D140" s="61">
        <v>0.07</v>
      </c>
      <c r="E140" s="13">
        <v>0.85</v>
      </c>
      <c r="F140" s="48" t="s">
        <v>4</v>
      </c>
      <c r="G140" s="50">
        <f t="shared" si="9"/>
        <v>0.85</v>
      </c>
      <c r="H140" s="48">
        <v>0</v>
      </c>
      <c r="I140" s="17">
        <f t="shared" si="10"/>
        <v>0.85</v>
      </c>
      <c r="J140" s="17">
        <f t="shared" si="8"/>
        <v>0.78</v>
      </c>
      <c r="K140" s="17">
        <f t="shared" si="7"/>
        <v>0.78</v>
      </c>
      <c r="L140" s="23" t="s">
        <v>362</v>
      </c>
    </row>
    <row r="141" spans="1:12" s="101" customFormat="1" ht="15">
      <c r="A141" s="48">
        <v>123</v>
      </c>
      <c r="B141" s="84" t="s">
        <v>141</v>
      </c>
      <c r="C141" s="49" t="s">
        <v>156</v>
      </c>
      <c r="D141" s="17">
        <v>0.36</v>
      </c>
      <c r="E141" s="13">
        <v>1.43</v>
      </c>
      <c r="F141" s="48" t="s">
        <v>4</v>
      </c>
      <c r="G141" s="50">
        <f t="shared" si="9"/>
        <v>1.43</v>
      </c>
      <c r="H141" s="48">
        <v>0</v>
      </c>
      <c r="I141" s="17">
        <f t="shared" si="10"/>
        <v>1.43</v>
      </c>
      <c r="J141" s="17">
        <f t="shared" si="8"/>
        <v>1.0699999999999998</v>
      </c>
      <c r="K141" s="17">
        <f t="shared" si="7"/>
        <v>1.0699999999999998</v>
      </c>
      <c r="L141" s="23" t="s">
        <v>362</v>
      </c>
    </row>
    <row r="142" spans="1:12" s="101" customFormat="1" ht="15">
      <c r="A142" s="48">
        <v>124</v>
      </c>
      <c r="B142" s="84" t="s">
        <v>142</v>
      </c>
      <c r="C142" s="49" t="s">
        <v>151</v>
      </c>
      <c r="D142" s="17">
        <v>0.16</v>
      </c>
      <c r="E142" s="13">
        <v>1.43</v>
      </c>
      <c r="F142" s="48" t="s">
        <v>4</v>
      </c>
      <c r="G142" s="50">
        <f t="shared" si="9"/>
        <v>1.43</v>
      </c>
      <c r="H142" s="48">
        <v>0</v>
      </c>
      <c r="I142" s="17">
        <f t="shared" si="10"/>
        <v>1.43</v>
      </c>
      <c r="J142" s="17">
        <f t="shared" si="8"/>
        <v>1.27</v>
      </c>
      <c r="K142" s="17">
        <f t="shared" si="7"/>
        <v>1.27</v>
      </c>
      <c r="L142" s="23" t="s">
        <v>362</v>
      </c>
    </row>
    <row r="143" spans="1:12" s="101" customFormat="1" ht="15">
      <c r="A143" s="48">
        <v>125</v>
      </c>
      <c r="B143" s="84" t="s">
        <v>143</v>
      </c>
      <c r="C143" s="49" t="s">
        <v>151</v>
      </c>
      <c r="D143" s="17">
        <v>0.58</v>
      </c>
      <c r="E143" s="13">
        <v>1.47</v>
      </c>
      <c r="F143" s="48" t="s">
        <v>4</v>
      </c>
      <c r="G143" s="50">
        <f t="shared" si="9"/>
        <v>1.47</v>
      </c>
      <c r="H143" s="48">
        <v>0</v>
      </c>
      <c r="I143" s="17">
        <f t="shared" si="10"/>
        <v>1.47</v>
      </c>
      <c r="J143" s="17">
        <f t="shared" si="8"/>
        <v>0.89</v>
      </c>
      <c r="K143" s="17">
        <f t="shared" si="7"/>
        <v>0.89</v>
      </c>
      <c r="L143" s="23" t="s">
        <v>362</v>
      </c>
    </row>
    <row r="144" spans="1:12" s="101" customFormat="1" ht="15">
      <c r="A144" s="48">
        <v>126</v>
      </c>
      <c r="B144" s="84" t="s">
        <v>144</v>
      </c>
      <c r="C144" s="49" t="s">
        <v>151</v>
      </c>
      <c r="D144" s="59">
        <v>0.18</v>
      </c>
      <c r="E144" s="13">
        <v>0.85</v>
      </c>
      <c r="F144" s="48" t="s">
        <v>4</v>
      </c>
      <c r="G144" s="50">
        <f t="shared" si="9"/>
        <v>0.85</v>
      </c>
      <c r="H144" s="48">
        <v>0</v>
      </c>
      <c r="I144" s="17">
        <f t="shared" si="10"/>
        <v>0.85</v>
      </c>
      <c r="J144" s="17">
        <f t="shared" si="8"/>
        <v>0.6699999999999999</v>
      </c>
      <c r="K144" s="17">
        <f t="shared" si="7"/>
        <v>0.6699999999999999</v>
      </c>
      <c r="L144" s="23" t="s">
        <v>362</v>
      </c>
    </row>
    <row r="145" spans="1:12" s="101" customFormat="1" ht="15">
      <c r="A145" s="48">
        <v>127</v>
      </c>
      <c r="B145" s="84" t="s">
        <v>306</v>
      </c>
      <c r="C145" s="49" t="s">
        <v>350</v>
      </c>
      <c r="D145" s="17">
        <v>0.21</v>
      </c>
      <c r="E145" s="13">
        <v>0.6</v>
      </c>
      <c r="F145" s="48" t="s">
        <v>4</v>
      </c>
      <c r="G145" s="50">
        <f t="shared" si="9"/>
        <v>0.6</v>
      </c>
      <c r="H145" s="48">
        <v>0</v>
      </c>
      <c r="I145" s="17">
        <f t="shared" si="10"/>
        <v>0.6</v>
      </c>
      <c r="J145" s="17">
        <f t="shared" si="8"/>
        <v>0.39</v>
      </c>
      <c r="K145" s="17">
        <f t="shared" si="7"/>
        <v>0.39</v>
      </c>
      <c r="L145" s="23" t="s">
        <v>362</v>
      </c>
    </row>
    <row r="146" spans="1:12" s="101" customFormat="1" ht="15">
      <c r="A146" s="48">
        <v>128</v>
      </c>
      <c r="B146" s="84" t="s">
        <v>145</v>
      </c>
      <c r="C146" s="49" t="s">
        <v>156</v>
      </c>
      <c r="D146" s="17">
        <v>0.24</v>
      </c>
      <c r="E146" s="13">
        <v>0.64</v>
      </c>
      <c r="F146" s="48" t="s">
        <v>4</v>
      </c>
      <c r="G146" s="50">
        <f t="shared" si="9"/>
        <v>0.64</v>
      </c>
      <c r="H146" s="48">
        <v>0</v>
      </c>
      <c r="I146" s="17">
        <f t="shared" si="10"/>
        <v>0.64</v>
      </c>
      <c r="J146" s="17">
        <f t="shared" si="8"/>
        <v>0.4</v>
      </c>
      <c r="K146" s="17">
        <f t="shared" si="7"/>
        <v>0.4</v>
      </c>
      <c r="L146" s="23" t="s">
        <v>362</v>
      </c>
    </row>
    <row r="147" spans="1:12" s="101" customFormat="1" ht="15">
      <c r="A147" s="48">
        <v>129</v>
      </c>
      <c r="B147" s="84" t="s">
        <v>146</v>
      </c>
      <c r="C147" s="49" t="s">
        <v>151</v>
      </c>
      <c r="D147" s="17">
        <v>0.48</v>
      </c>
      <c r="E147" s="17">
        <v>2.15</v>
      </c>
      <c r="F147" s="48" t="s">
        <v>4</v>
      </c>
      <c r="G147" s="50">
        <f t="shared" si="9"/>
        <v>2.15</v>
      </c>
      <c r="H147" s="48">
        <v>0</v>
      </c>
      <c r="I147" s="17">
        <f t="shared" si="10"/>
        <v>2.15</v>
      </c>
      <c r="J147" s="17">
        <f t="shared" si="8"/>
        <v>1.67</v>
      </c>
      <c r="K147" s="17">
        <f t="shared" si="7"/>
        <v>1.67</v>
      </c>
      <c r="L147" s="23" t="s">
        <v>362</v>
      </c>
    </row>
    <row r="148" spans="1:12" s="101" customFormat="1" ht="15">
      <c r="A148" s="290" t="s">
        <v>159</v>
      </c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2"/>
    </row>
    <row r="149" spans="1:12" s="101" customFormat="1" ht="15">
      <c r="A149" s="48">
        <v>1</v>
      </c>
      <c r="B149" s="84" t="s">
        <v>160</v>
      </c>
      <c r="C149" s="49" t="s">
        <v>308</v>
      </c>
      <c r="D149" s="17">
        <v>7.88</v>
      </c>
      <c r="E149" s="13">
        <v>0</v>
      </c>
      <c r="F149" s="48">
        <v>0</v>
      </c>
      <c r="G149" s="17">
        <f aca="true" t="shared" si="11" ref="G149:G215">D149-E149</f>
        <v>7.88</v>
      </c>
      <c r="H149" s="48">
        <v>0</v>
      </c>
      <c r="I149" s="17">
        <f>1.05*25</f>
        <v>26.25</v>
      </c>
      <c r="J149" s="17">
        <f>I149-H149-G149</f>
        <v>18.37</v>
      </c>
      <c r="K149" s="17">
        <f>J149</f>
        <v>18.37</v>
      </c>
      <c r="L149" s="23" t="s">
        <v>362</v>
      </c>
    </row>
    <row r="150" spans="1:12" s="101" customFormat="1" ht="15">
      <c r="A150" s="48">
        <v>2</v>
      </c>
      <c r="B150" s="84" t="s">
        <v>161</v>
      </c>
      <c r="C150" s="49" t="s">
        <v>309</v>
      </c>
      <c r="D150" s="17">
        <v>1.78</v>
      </c>
      <c r="E150" s="13">
        <v>0.9</v>
      </c>
      <c r="F150" s="48">
        <v>45</v>
      </c>
      <c r="G150" s="17">
        <f t="shared" si="11"/>
        <v>0.88</v>
      </c>
      <c r="H150" s="48">
        <v>0</v>
      </c>
      <c r="I150" s="17">
        <f>1.05*6.3</f>
        <v>6.615</v>
      </c>
      <c r="J150" s="17">
        <f aca="true" t="shared" si="12" ref="J150:J216">I150-H150-G150</f>
        <v>5.735</v>
      </c>
      <c r="K150" s="17">
        <f>J150</f>
        <v>5.735</v>
      </c>
      <c r="L150" s="23" t="s">
        <v>362</v>
      </c>
    </row>
    <row r="151" spans="1:12" s="101" customFormat="1" ht="15">
      <c r="A151" s="284">
        <v>3</v>
      </c>
      <c r="B151" s="84" t="s">
        <v>162</v>
      </c>
      <c r="C151" s="49" t="s">
        <v>308</v>
      </c>
      <c r="D151" s="17">
        <f>D152+D153</f>
        <v>14.6</v>
      </c>
      <c r="E151" s="13">
        <v>20.2</v>
      </c>
      <c r="F151" s="48">
        <v>120</v>
      </c>
      <c r="G151" s="17">
        <f t="shared" si="11"/>
        <v>-5.6</v>
      </c>
      <c r="H151" s="48">
        <v>0</v>
      </c>
      <c r="I151" s="17">
        <f>1.05*25</f>
        <v>26.25</v>
      </c>
      <c r="J151" s="17">
        <f t="shared" si="12"/>
        <v>31.85</v>
      </c>
      <c r="K151" s="285">
        <f>MIN(J151:J153)</f>
        <v>25.009999999999998</v>
      </c>
      <c r="L151" s="282" t="s">
        <v>362</v>
      </c>
    </row>
    <row r="152" spans="1:12" s="101" customFormat="1" ht="15">
      <c r="A152" s="284"/>
      <c r="B152" s="84" t="s">
        <v>348</v>
      </c>
      <c r="C152" s="49">
        <v>25</v>
      </c>
      <c r="D152" s="17">
        <v>3.76</v>
      </c>
      <c r="E152" s="13">
        <v>10.6</v>
      </c>
      <c r="F152" s="48">
        <v>120</v>
      </c>
      <c r="G152" s="17">
        <f t="shared" si="11"/>
        <v>-6.84</v>
      </c>
      <c r="H152" s="48">
        <v>0</v>
      </c>
      <c r="I152" s="17">
        <v>26.25</v>
      </c>
      <c r="J152" s="17">
        <f t="shared" si="12"/>
        <v>33.09</v>
      </c>
      <c r="K152" s="285"/>
      <c r="L152" s="282"/>
    </row>
    <row r="153" spans="1:12" s="101" customFormat="1" ht="15">
      <c r="A153" s="284"/>
      <c r="B153" s="84" t="s">
        <v>349</v>
      </c>
      <c r="C153" s="49">
        <v>25</v>
      </c>
      <c r="D153" s="17">
        <v>10.84</v>
      </c>
      <c r="E153" s="13">
        <v>9.6</v>
      </c>
      <c r="F153" s="48">
        <v>120</v>
      </c>
      <c r="G153" s="17">
        <f t="shared" si="11"/>
        <v>1.2400000000000002</v>
      </c>
      <c r="H153" s="48">
        <v>0</v>
      </c>
      <c r="I153" s="17">
        <v>26.25</v>
      </c>
      <c r="J153" s="17">
        <f t="shared" si="12"/>
        <v>25.009999999999998</v>
      </c>
      <c r="K153" s="285"/>
      <c r="L153" s="282"/>
    </row>
    <row r="154" spans="1:12" s="101" customFormat="1" ht="15">
      <c r="A154" s="48">
        <v>4</v>
      </c>
      <c r="B154" s="84" t="s">
        <v>163</v>
      </c>
      <c r="C154" s="49" t="s">
        <v>310</v>
      </c>
      <c r="D154" s="59">
        <v>0.83</v>
      </c>
      <c r="E154" s="13">
        <v>0.6</v>
      </c>
      <c r="F154" s="48">
        <v>120</v>
      </c>
      <c r="G154" s="17">
        <f t="shared" si="11"/>
        <v>0.22999999999999998</v>
      </c>
      <c r="H154" s="48">
        <v>0</v>
      </c>
      <c r="I154" s="17">
        <f>1.05*6.3</f>
        <v>6.615</v>
      </c>
      <c r="J154" s="17">
        <f t="shared" si="12"/>
        <v>6.385</v>
      </c>
      <c r="K154" s="17">
        <f>J154</f>
        <v>6.385</v>
      </c>
      <c r="L154" s="23" t="s">
        <v>362</v>
      </c>
    </row>
    <row r="155" spans="1:12" s="101" customFormat="1" ht="15">
      <c r="A155" s="284">
        <v>5</v>
      </c>
      <c r="B155" s="84" t="s">
        <v>164</v>
      </c>
      <c r="C155" s="49" t="s">
        <v>311</v>
      </c>
      <c r="D155" s="17">
        <f>D156+D157</f>
        <v>1.3199999999999998</v>
      </c>
      <c r="E155" s="13">
        <v>6.19</v>
      </c>
      <c r="F155" s="48">
        <v>15</v>
      </c>
      <c r="G155" s="17">
        <f t="shared" si="11"/>
        <v>-4.870000000000001</v>
      </c>
      <c r="H155" s="48">
        <v>0</v>
      </c>
      <c r="I155" s="17">
        <f>5.6*1.05</f>
        <v>5.88</v>
      </c>
      <c r="J155" s="17">
        <f t="shared" si="12"/>
        <v>10.75</v>
      </c>
      <c r="K155" s="285">
        <f>MIN(J155:J157)</f>
        <v>5.34</v>
      </c>
      <c r="L155" s="282" t="s">
        <v>362</v>
      </c>
    </row>
    <row r="156" spans="1:12" s="101" customFormat="1" ht="15">
      <c r="A156" s="284"/>
      <c r="B156" s="84" t="s">
        <v>348</v>
      </c>
      <c r="C156" s="49" t="s">
        <v>311</v>
      </c>
      <c r="D156" s="17">
        <v>0.59</v>
      </c>
      <c r="E156" s="13">
        <v>6</v>
      </c>
      <c r="F156" s="48"/>
      <c r="G156" s="17">
        <f t="shared" si="11"/>
        <v>-5.41</v>
      </c>
      <c r="H156" s="48">
        <v>0</v>
      </c>
      <c r="I156" s="17">
        <f>5.6*1.05</f>
        <v>5.88</v>
      </c>
      <c r="J156" s="17">
        <f t="shared" si="12"/>
        <v>11.29</v>
      </c>
      <c r="K156" s="285"/>
      <c r="L156" s="282"/>
    </row>
    <row r="157" spans="1:12" s="101" customFormat="1" ht="15">
      <c r="A157" s="284"/>
      <c r="B157" s="84" t="s">
        <v>349</v>
      </c>
      <c r="C157" s="49" t="s">
        <v>311</v>
      </c>
      <c r="D157" s="17">
        <v>0.73</v>
      </c>
      <c r="E157" s="13">
        <v>0.19</v>
      </c>
      <c r="F157" s="48">
        <v>120</v>
      </c>
      <c r="G157" s="17">
        <f t="shared" si="11"/>
        <v>0.54</v>
      </c>
      <c r="H157" s="48">
        <v>0</v>
      </c>
      <c r="I157" s="17">
        <f>5.6*1.05</f>
        <v>5.88</v>
      </c>
      <c r="J157" s="17">
        <f t="shared" si="12"/>
        <v>5.34</v>
      </c>
      <c r="K157" s="285"/>
      <c r="L157" s="282"/>
    </row>
    <row r="158" spans="1:12" s="101" customFormat="1" ht="15">
      <c r="A158" s="284">
        <v>6</v>
      </c>
      <c r="B158" s="84" t="s">
        <v>165</v>
      </c>
      <c r="C158" s="49" t="s">
        <v>312</v>
      </c>
      <c r="D158" s="17">
        <f>D159+D160</f>
        <v>7.1</v>
      </c>
      <c r="E158" s="13">
        <v>12</v>
      </c>
      <c r="F158" s="48">
        <v>120</v>
      </c>
      <c r="G158" s="17">
        <f t="shared" si="11"/>
        <v>-4.9</v>
      </c>
      <c r="H158" s="48">
        <v>0</v>
      </c>
      <c r="I158" s="17">
        <f>1.05*16</f>
        <v>16.8</v>
      </c>
      <c r="J158" s="17">
        <f t="shared" si="12"/>
        <v>21.700000000000003</v>
      </c>
      <c r="K158" s="285">
        <f>MIN(J158:J160)</f>
        <v>13.600000000000001</v>
      </c>
      <c r="L158" s="282" t="s">
        <v>362</v>
      </c>
    </row>
    <row r="159" spans="1:12" s="101" customFormat="1" ht="15">
      <c r="A159" s="284"/>
      <c r="B159" s="84" t="s">
        <v>348</v>
      </c>
      <c r="C159" s="49">
        <v>16</v>
      </c>
      <c r="D159" s="17">
        <v>3.2</v>
      </c>
      <c r="E159" s="13">
        <v>0</v>
      </c>
      <c r="F159" s="48"/>
      <c r="G159" s="17">
        <f t="shared" si="11"/>
        <v>3.2</v>
      </c>
      <c r="H159" s="48">
        <v>0</v>
      </c>
      <c r="I159" s="17">
        <f>1.05*16</f>
        <v>16.8</v>
      </c>
      <c r="J159" s="17">
        <f t="shared" si="12"/>
        <v>13.600000000000001</v>
      </c>
      <c r="K159" s="285"/>
      <c r="L159" s="282"/>
    </row>
    <row r="160" spans="1:12" s="101" customFormat="1" ht="15">
      <c r="A160" s="284"/>
      <c r="B160" s="84" t="s">
        <v>349</v>
      </c>
      <c r="C160" s="49">
        <v>16</v>
      </c>
      <c r="D160" s="17">
        <v>3.9</v>
      </c>
      <c r="E160" s="13">
        <v>12</v>
      </c>
      <c r="F160" s="48">
        <v>120</v>
      </c>
      <c r="G160" s="17">
        <f t="shared" si="11"/>
        <v>-8.1</v>
      </c>
      <c r="H160" s="48">
        <v>0</v>
      </c>
      <c r="I160" s="17">
        <f>1.05*16</f>
        <v>16.8</v>
      </c>
      <c r="J160" s="17">
        <f t="shared" si="12"/>
        <v>24.9</v>
      </c>
      <c r="K160" s="285"/>
      <c r="L160" s="282"/>
    </row>
    <row r="161" spans="1:12" s="101" customFormat="1" ht="15">
      <c r="A161" s="284">
        <v>7</v>
      </c>
      <c r="B161" s="84" t="s">
        <v>166</v>
      </c>
      <c r="C161" s="49" t="s">
        <v>310</v>
      </c>
      <c r="D161" s="17">
        <f>D162+D163</f>
        <v>1.6</v>
      </c>
      <c r="E161" s="13">
        <v>1.3</v>
      </c>
      <c r="F161" s="48">
        <v>120</v>
      </c>
      <c r="G161" s="17">
        <f t="shared" si="11"/>
        <v>0.30000000000000004</v>
      </c>
      <c r="H161" s="48">
        <v>0</v>
      </c>
      <c r="I161" s="17">
        <f>1.05*6.3</f>
        <v>6.615</v>
      </c>
      <c r="J161" s="17">
        <f t="shared" si="12"/>
        <v>6.315</v>
      </c>
      <c r="K161" s="285">
        <f>MIN(J161:J163)</f>
        <v>6.015000000000001</v>
      </c>
      <c r="L161" s="282" t="s">
        <v>362</v>
      </c>
    </row>
    <row r="162" spans="1:12" s="101" customFormat="1" ht="15">
      <c r="A162" s="284"/>
      <c r="B162" s="84" t="s">
        <v>348</v>
      </c>
      <c r="C162" s="49">
        <v>6.3</v>
      </c>
      <c r="D162" s="17">
        <v>0.6</v>
      </c>
      <c r="E162" s="13"/>
      <c r="F162" s="48"/>
      <c r="G162" s="17">
        <f t="shared" si="11"/>
        <v>0.6</v>
      </c>
      <c r="H162" s="48">
        <v>0</v>
      </c>
      <c r="I162" s="17">
        <f>1.05*6.3</f>
        <v>6.615</v>
      </c>
      <c r="J162" s="17">
        <f t="shared" si="12"/>
        <v>6.015000000000001</v>
      </c>
      <c r="K162" s="285"/>
      <c r="L162" s="282"/>
    </row>
    <row r="163" spans="1:12" s="101" customFormat="1" ht="15">
      <c r="A163" s="284"/>
      <c r="B163" s="84" t="s">
        <v>349</v>
      </c>
      <c r="C163" s="49">
        <v>6.3</v>
      </c>
      <c r="D163" s="17">
        <v>1</v>
      </c>
      <c r="E163" s="13">
        <v>1.3</v>
      </c>
      <c r="F163" s="48">
        <v>120</v>
      </c>
      <c r="G163" s="17">
        <f t="shared" si="11"/>
        <v>-0.30000000000000004</v>
      </c>
      <c r="H163" s="48">
        <v>0</v>
      </c>
      <c r="I163" s="17">
        <f>1.05*6.3</f>
        <v>6.615</v>
      </c>
      <c r="J163" s="17">
        <f t="shared" si="12"/>
        <v>6.915</v>
      </c>
      <c r="K163" s="285"/>
      <c r="L163" s="282"/>
    </row>
    <row r="164" spans="1:12" s="101" customFormat="1" ht="15">
      <c r="A164" s="48">
        <v>8</v>
      </c>
      <c r="B164" s="84" t="s">
        <v>167</v>
      </c>
      <c r="C164" s="49" t="s">
        <v>313</v>
      </c>
      <c r="D164" s="17">
        <v>2.57</v>
      </c>
      <c r="E164" s="13">
        <v>1.17</v>
      </c>
      <c r="F164" s="48">
        <v>45</v>
      </c>
      <c r="G164" s="17">
        <f t="shared" si="11"/>
        <v>1.4</v>
      </c>
      <c r="H164" s="48">
        <v>0</v>
      </c>
      <c r="I164" s="17">
        <f>1.05*2.5</f>
        <v>2.625</v>
      </c>
      <c r="J164" s="17">
        <f t="shared" si="12"/>
        <v>1.225</v>
      </c>
      <c r="K164" s="17">
        <f>J164</f>
        <v>1.225</v>
      </c>
      <c r="L164" s="23" t="s">
        <v>362</v>
      </c>
    </row>
    <row r="165" spans="1:12" s="101" customFormat="1" ht="15">
      <c r="A165" s="284">
        <v>9</v>
      </c>
      <c r="B165" s="84" t="s">
        <v>168</v>
      </c>
      <c r="C165" s="49" t="s">
        <v>314</v>
      </c>
      <c r="D165" s="17">
        <f>D166+D167</f>
        <v>41.480000000000004</v>
      </c>
      <c r="E165" s="13">
        <v>16.8</v>
      </c>
      <c r="F165" s="48">
        <v>0</v>
      </c>
      <c r="G165" s="17">
        <f t="shared" si="11"/>
        <v>24.680000000000003</v>
      </c>
      <c r="H165" s="48">
        <v>0</v>
      </c>
      <c r="I165" s="17">
        <f>1.05*(40+40.5)</f>
        <v>84.525</v>
      </c>
      <c r="J165" s="17">
        <f t="shared" si="12"/>
        <v>59.845</v>
      </c>
      <c r="K165" s="285">
        <f>MIN(J165:J167)</f>
        <v>58.045</v>
      </c>
      <c r="L165" s="282" t="s">
        <v>362</v>
      </c>
    </row>
    <row r="166" spans="1:12" s="101" customFormat="1" ht="15">
      <c r="A166" s="284"/>
      <c r="B166" s="84" t="s">
        <v>348</v>
      </c>
      <c r="C166" s="49" t="s">
        <v>314</v>
      </c>
      <c r="D166" s="17">
        <v>15</v>
      </c>
      <c r="E166" s="13">
        <v>16.8</v>
      </c>
      <c r="F166" s="48">
        <v>0</v>
      </c>
      <c r="G166" s="17">
        <f t="shared" si="11"/>
        <v>-1.8000000000000007</v>
      </c>
      <c r="H166" s="48">
        <v>0</v>
      </c>
      <c r="I166" s="17">
        <f>1.05*(40+40.5)</f>
        <v>84.525</v>
      </c>
      <c r="J166" s="17">
        <f t="shared" si="12"/>
        <v>86.325</v>
      </c>
      <c r="K166" s="285"/>
      <c r="L166" s="282"/>
    </row>
    <row r="167" spans="1:12" s="101" customFormat="1" ht="15">
      <c r="A167" s="284"/>
      <c r="B167" s="84" t="s">
        <v>349</v>
      </c>
      <c r="C167" s="49" t="s">
        <v>314</v>
      </c>
      <c r="D167" s="17">
        <v>26.48</v>
      </c>
      <c r="E167" s="13">
        <v>0</v>
      </c>
      <c r="F167" s="48">
        <v>0</v>
      </c>
      <c r="G167" s="17">
        <f t="shared" si="11"/>
        <v>26.48</v>
      </c>
      <c r="H167" s="48">
        <v>0</v>
      </c>
      <c r="I167" s="17">
        <f>1.05*(40+40.5)</f>
        <v>84.525</v>
      </c>
      <c r="J167" s="17">
        <f t="shared" si="12"/>
        <v>58.045</v>
      </c>
      <c r="K167" s="285"/>
      <c r="L167" s="282"/>
    </row>
    <row r="168" spans="1:12" s="101" customFormat="1" ht="15">
      <c r="A168" s="92">
        <v>10</v>
      </c>
      <c r="B168" s="85" t="s">
        <v>169</v>
      </c>
      <c r="C168" s="80" t="s">
        <v>312</v>
      </c>
      <c r="D168" s="121">
        <v>27.17</v>
      </c>
      <c r="E168" s="45">
        <v>3.2</v>
      </c>
      <c r="F168" s="92">
        <v>15</v>
      </c>
      <c r="G168" s="93">
        <f t="shared" si="11"/>
        <v>23.970000000000002</v>
      </c>
      <c r="H168" s="92">
        <v>0</v>
      </c>
      <c r="I168" s="93">
        <f>1.05*16</f>
        <v>16.8</v>
      </c>
      <c r="J168" s="93">
        <f t="shared" si="12"/>
        <v>-7.170000000000002</v>
      </c>
      <c r="K168" s="93">
        <f>J168</f>
        <v>-7.170000000000002</v>
      </c>
      <c r="L168" s="94" t="s">
        <v>363</v>
      </c>
    </row>
    <row r="169" spans="1:12" s="101" customFormat="1" ht="15">
      <c r="A169" s="284">
        <v>11</v>
      </c>
      <c r="B169" s="84" t="s">
        <v>170</v>
      </c>
      <c r="C169" s="49" t="s">
        <v>315</v>
      </c>
      <c r="D169" s="17">
        <f>D170+D171</f>
        <v>6.23</v>
      </c>
      <c r="E169" s="13">
        <v>8.04</v>
      </c>
      <c r="F169" s="48">
        <v>120</v>
      </c>
      <c r="G169" s="17">
        <f t="shared" si="11"/>
        <v>-1.8099999999999987</v>
      </c>
      <c r="H169" s="48">
        <v>0</v>
      </c>
      <c r="I169" s="17">
        <f>1.05*10</f>
        <v>10.5</v>
      </c>
      <c r="J169" s="17">
        <f t="shared" si="12"/>
        <v>12.309999999999999</v>
      </c>
      <c r="K169" s="285">
        <f>MIN(J169:J171)</f>
        <v>8.67</v>
      </c>
      <c r="L169" s="282" t="s">
        <v>362</v>
      </c>
    </row>
    <row r="170" spans="1:12" s="101" customFormat="1" ht="15">
      <c r="A170" s="284"/>
      <c r="B170" s="84" t="s">
        <v>348</v>
      </c>
      <c r="C170" s="49">
        <v>10</v>
      </c>
      <c r="D170" s="17">
        <v>2.96</v>
      </c>
      <c r="E170" s="13">
        <v>6.6</v>
      </c>
      <c r="F170" s="48">
        <v>120</v>
      </c>
      <c r="G170" s="17">
        <f t="shared" si="11"/>
        <v>-3.6399999999999997</v>
      </c>
      <c r="H170" s="48">
        <v>0</v>
      </c>
      <c r="I170" s="17">
        <f>1.05*10</f>
        <v>10.5</v>
      </c>
      <c r="J170" s="17">
        <f t="shared" si="12"/>
        <v>14.14</v>
      </c>
      <c r="K170" s="285"/>
      <c r="L170" s="282"/>
    </row>
    <row r="171" spans="1:12" s="101" customFormat="1" ht="15">
      <c r="A171" s="284"/>
      <c r="B171" s="84" t="s">
        <v>349</v>
      </c>
      <c r="C171" s="49">
        <v>10</v>
      </c>
      <c r="D171" s="17">
        <v>3.27</v>
      </c>
      <c r="E171" s="13">
        <v>1.44</v>
      </c>
      <c r="F171" s="48">
        <v>80</v>
      </c>
      <c r="G171" s="17">
        <f t="shared" si="11"/>
        <v>1.83</v>
      </c>
      <c r="H171" s="48">
        <v>0</v>
      </c>
      <c r="I171" s="17">
        <f>1.05*10</f>
        <v>10.5</v>
      </c>
      <c r="J171" s="17">
        <f t="shared" si="12"/>
        <v>8.67</v>
      </c>
      <c r="K171" s="285"/>
      <c r="L171" s="282"/>
    </row>
    <row r="172" spans="1:12" s="101" customFormat="1" ht="15">
      <c r="A172" s="48">
        <v>12</v>
      </c>
      <c r="B172" s="84" t="s">
        <v>171</v>
      </c>
      <c r="C172" s="49" t="s">
        <v>316</v>
      </c>
      <c r="D172" s="17">
        <f>12.72-4.2</f>
        <v>8.52</v>
      </c>
      <c r="E172" s="13">
        <v>0</v>
      </c>
      <c r="F172" s="48">
        <v>0</v>
      </c>
      <c r="G172" s="17">
        <f t="shared" si="11"/>
        <v>8.52</v>
      </c>
      <c r="H172" s="48">
        <v>0</v>
      </c>
      <c r="I172" s="17">
        <f>1.05*25</f>
        <v>26.25</v>
      </c>
      <c r="J172" s="17">
        <f t="shared" si="12"/>
        <v>17.73</v>
      </c>
      <c r="K172" s="17">
        <f>J172</f>
        <v>17.73</v>
      </c>
      <c r="L172" s="23" t="s">
        <v>362</v>
      </c>
    </row>
    <row r="173" spans="1:12" s="101" customFormat="1" ht="15">
      <c r="A173" s="284">
        <v>13</v>
      </c>
      <c r="B173" s="84" t="s">
        <v>172</v>
      </c>
      <c r="C173" s="49" t="s">
        <v>317</v>
      </c>
      <c r="D173" s="17">
        <f>D174+D175</f>
        <v>8</v>
      </c>
      <c r="E173" s="13">
        <v>6.52</v>
      </c>
      <c r="F173" s="48">
        <v>120</v>
      </c>
      <c r="G173" s="17">
        <f t="shared" si="11"/>
        <v>1.4800000000000004</v>
      </c>
      <c r="H173" s="48">
        <v>0</v>
      </c>
      <c r="I173" s="17">
        <f aca="true" t="shared" si="13" ref="I173:I179">1.05*10</f>
        <v>10.5</v>
      </c>
      <c r="J173" s="17">
        <f t="shared" si="12"/>
        <v>9.02</v>
      </c>
      <c r="K173" s="285">
        <f>MIN(J173:J175)</f>
        <v>7.609999999999999</v>
      </c>
      <c r="L173" s="282" t="s">
        <v>362</v>
      </c>
    </row>
    <row r="174" spans="1:12" s="101" customFormat="1" ht="15">
      <c r="A174" s="284"/>
      <c r="B174" s="84" t="s">
        <v>348</v>
      </c>
      <c r="C174" s="49" t="s">
        <v>317</v>
      </c>
      <c r="D174" s="17">
        <v>4.65</v>
      </c>
      <c r="E174" s="13">
        <v>6.06</v>
      </c>
      <c r="F174" s="48"/>
      <c r="G174" s="17">
        <f t="shared" si="11"/>
        <v>-1.4099999999999993</v>
      </c>
      <c r="H174" s="48">
        <v>0</v>
      </c>
      <c r="I174" s="17">
        <f t="shared" si="13"/>
        <v>10.5</v>
      </c>
      <c r="J174" s="17">
        <f t="shared" si="12"/>
        <v>11.91</v>
      </c>
      <c r="K174" s="285"/>
      <c r="L174" s="282"/>
    </row>
    <row r="175" spans="1:12" s="101" customFormat="1" ht="15">
      <c r="A175" s="284"/>
      <c r="B175" s="84" t="s">
        <v>349</v>
      </c>
      <c r="C175" s="49" t="s">
        <v>317</v>
      </c>
      <c r="D175" s="17">
        <v>3.35</v>
      </c>
      <c r="E175" s="13">
        <v>0.46</v>
      </c>
      <c r="F175" s="48">
        <v>120</v>
      </c>
      <c r="G175" s="17">
        <f t="shared" si="11"/>
        <v>2.89</v>
      </c>
      <c r="H175" s="48">
        <v>0</v>
      </c>
      <c r="I175" s="17">
        <f t="shared" si="13"/>
        <v>10.5</v>
      </c>
      <c r="J175" s="17">
        <f t="shared" si="12"/>
        <v>7.609999999999999</v>
      </c>
      <c r="K175" s="285"/>
      <c r="L175" s="282"/>
    </row>
    <row r="176" spans="1:12" s="101" customFormat="1" ht="15">
      <c r="A176" s="284">
        <v>14</v>
      </c>
      <c r="B176" s="84" t="s">
        <v>173</v>
      </c>
      <c r="C176" s="49" t="s">
        <v>315</v>
      </c>
      <c r="D176" s="60">
        <f>D177+D178</f>
        <v>5.9399999999999995</v>
      </c>
      <c r="E176" s="13">
        <v>10.4</v>
      </c>
      <c r="F176" s="48">
        <v>120</v>
      </c>
      <c r="G176" s="17">
        <f t="shared" si="11"/>
        <v>-4.460000000000001</v>
      </c>
      <c r="H176" s="48">
        <v>0</v>
      </c>
      <c r="I176" s="17">
        <f t="shared" si="13"/>
        <v>10.5</v>
      </c>
      <c r="J176" s="17">
        <f t="shared" si="12"/>
        <v>14.96</v>
      </c>
      <c r="K176" s="285">
        <f>MIN(J176:J178)</f>
        <v>9.97</v>
      </c>
      <c r="L176" s="282" t="s">
        <v>362</v>
      </c>
    </row>
    <row r="177" spans="1:12" s="101" customFormat="1" ht="15">
      <c r="A177" s="284"/>
      <c r="B177" s="84" t="s">
        <v>348</v>
      </c>
      <c r="C177" s="49">
        <v>10</v>
      </c>
      <c r="D177" s="60">
        <v>2.41</v>
      </c>
      <c r="E177" s="13">
        <v>7.4</v>
      </c>
      <c r="F177" s="48"/>
      <c r="G177" s="17">
        <f t="shared" si="11"/>
        <v>-4.99</v>
      </c>
      <c r="H177" s="48">
        <v>0</v>
      </c>
      <c r="I177" s="17">
        <f t="shared" si="13"/>
        <v>10.5</v>
      </c>
      <c r="J177" s="17">
        <f t="shared" si="12"/>
        <v>15.49</v>
      </c>
      <c r="K177" s="285"/>
      <c r="L177" s="282"/>
    </row>
    <row r="178" spans="1:12" s="101" customFormat="1" ht="15">
      <c r="A178" s="284"/>
      <c r="B178" s="84" t="s">
        <v>349</v>
      </c>
      <c r="C178" s="49">
        <v>10</v>
      </c>
      <c r="D178" s="60">
        <v>3.53</v>
      </c>
      <c r="E178" s="13">
        <v>3</v>
      </c>
      <c r="F178" s="48">
        <v>80</v>
      </c>
      <c r="G178" s="17">
        <f t="shared" si="11"/>
        <v>0.5299999999999998</v>
      </c>
      <c r="H178" s="48">
        <v>0</v>
      </c>
      <c r="I178" s="17">
        <f t="shared" si="13"/>
        <v>10.5</v>
      </c>
      <c r="J178" s="17">
        <f t="shared" si="12"/>
        <v>9.97</v>
      </c>
      <c r="K178" s="285"/>
      <c r="L178" s="282"/>
    </row>
    <row r="179" spans="1:12" s="101" customFormat="1" ht="15">
      <c r="A179" s="48">
        <v>15</v>
      </c>
      <c r="B179" s="84" t="s">
        <v>174</v>
      </c>
      <c r="C179" s="49" t="s">
        <v>315</v>
      </c>
      <c r="D179" s="17">
        <v>0.9</v>
      </c>
      <c r="E179" s="13">
        <v>0.5</v>
      </c>
      <c r="F179" s="48">
        <v>120</v>
      </c>
      <c r="G179" s="17">
        <f t="shared" si="11"/>
        <v>0.4</v>
      </c>
      <c r="H179" s="48">
        <v>0</v>
      </c>
      <c r="I179" s="17">
        <f t="shared" si="13"/>
        <v>10.5</v>
      </c>
      <c r="J179" s="17">
        <f t="shared" si="12"/>
        <v>10.1</v>
      </c>
      <c r="K179" s="17">
        <f>J179</f>
        <v>10.1</v>
      </c>
      <c r="L179" s="23" t="s">
        <v>362</v>
      </c>
    </row>
    <row r="180" spans="1:12" s="101" customFormat="1" ht="15">
      <c r="A180" s="280">
        <v>16</v>
      </c>
      <c r="B180" s="79" t="s">
        <v>175</v>
      </c>
      <c r="C180" s="49" t="s">
        <v>315</v>
      </c>
      <c r="D180" s="17">
        <f>D181+D182</f>
        <v>1.22</v>
      </c>
      <c r="E180" s="13">
        <v>5.16</v>
      </c>
      <c r="F180" s="14">
        <v>120</v>
      </c>
      <c r="G180" s="17">
        <f t="shared" si="11"/>
        <v>-3.9400000000000004</v>
      </c>
      <c r="H180" s="14">
        <v>0</v>
      </c>
      <c r="I180" s="13">
        <f>1.05*10</f>
        <v>10.5</v>
      </c>
      <c r="J180" s="17">
        <f t="shared" si="12"/>
        <v>14.440000000000001</v>
      </c>
      <c r="K180" s="281">
        <f>MIN(J180:J182)</f>
        <v>10.97</v>
      </c>
      <c r="L180" s="282" t="s">
        <v>362</v>
      </c>
    </row>
    <row r="181" spans="1:12" s="101" customFormat="1" ht="15">
      <c r="A181" s="280"/>
      <c r="B181" s="79" t="s">
        <v>348</v>
      </c>
      <c r="C181" s="49">
        <v>10</v>
      </c>
      <c r="D181" s="17">
        <v>1.03</v>
      </c>
      <c r="E181" s="13">
        <v>4.5</v>
      </c>
      <c r="F181" s="14" t="s">
        <v>4</v>
      </c>
      <c r="G181" s="17">
        <f t="shared" si="11"/>
        <v>-3.4699999999999998</v>
      </c>
      <c r="H181" s="14">
        <v>0</v>
      </c>
      <c r="I181" s="13">
        <f>1.05*10</f>
        <v>10.5</v>
      </c>
      <c r="J181" s="17">
        <f t="shared" si="12"/>
        <v>13.969999999999999</v>
      </c>
      <c r="K181" s="281"/>
      <c r="L181" s="282"/>
    </row>
    <row r="182" spans="1:12" s="101" customFormat="1" ht="15">
      <c r="A182" s="280"/>
      <c r="B182" s="79" t="s">
        <v>349</v>
      </c>
      <c r="C182" s="49">
        <v>10</v>
      </c>
      <c r="D182" s="17">
        <v>0.19</v>
      </c>
      <c r="E182" s="13">
        <v>0.66</v>
      </c>
      <c r="F182" s="14">
        <v>120</v>
      </c>
      <c r="G182" s="17">
        <f t="shared" si="11"/>
        <v>-0.47000000000000003</v>
      </c>
      <c r="H182" s="14">
        <v>0</v>
      </c>
      <c r="I182" s="13">
        <f>1.05*10</f>
        <v>10.5</v>
      </c>
      <c r="J182" s="17">
        <f t="shared" si="12"/>
        <v>10.97</v>
      </c>
      <c r="K182" s="281"/>
      <c r="L182" s="282"/>
    </row>
    <row r="183" spans="1:12" s="101" customFormat="1" ht="15">
      <c r="A183" s="284">
        <v>17</v>
      </c>
      <c r="B183" s="84" t="s">
        <v>176</v>
      </c>
      <c r="C183" s="49" t="s">
        <v>316</v>
      </c>
      <c r="D183" s="17">
        <f>D184+D185</f>
        <v>7.52</v>
      </c>
      <c r="E183" s="13">
        <v>22.1</v>
      </c>
      <c r="F183" s="48">
        <v>80</v>
      </c>
      <c r="G183" s="17">
        <f t="shared" si="11"/>
        <v>-14.580000000000002</v>
      </c>
      <c r="H183" s="48">
        <v>0</v>
      </c>
      <c r="I183" s="17">
        <f>1.05*25</f>
        <v>26.25</v>
      </c>
      <c r="J183" s="17">
        <f t="shared" si="12"/>
        <v>40.83</v>
      </c>
      <c r="K183" s="285">
        <f>MIN(J183:J185)</f>
        <v>25.21</v>
      </c>
      <c r="L183" s="282" t="s">
        <v>362</v>
      </c>
    </row>
    <row r="184" spans="1:12" s="101" customFormat="1" ht="15">
      <c r="A184" s="284"/>
      <c r="B184" s="84" t="s">
        <v>348</v>
      </c>
      <c r="C184" s="49">
        <v>25</v>
      </c>
      <c r="D184" s="17">
        <v>3.18</v>
      </c>
      <c r="E184" s="13">
        <v>18.8</v>
      </c>
      <c r="F184" s="48"/>
      <c r="G184" s="17">
        <f t="shared" si="11"/>
        <v>-15.620000000000001</v>
      </c>
      <c r="H184" s="48">
        <v>0</v>
      </c>
      <c r="I184" s="17">
        <f>1.05*25</f>
        <v>26.25</v>
      </c>
      <c r="J184" s="17">
        <f t="shared" si="12"/>
        <v>41.870000000000005</v>
      </c>
      <c r="K184" s="285"/>
      <c r="L184" s="282"/>
    </row>
    <row r="185" spans="1:12" s="101" customFormat="1" ht="15">
      <c r="A185" s="284"/>
      <c r="B185" s="84" t="s">
        <v>349</v>
      </c>
      <c r="C185" s="49">
        <v>25</v>
      </c>
      <c r="D185" s="17">
        <v>4.34</v>
      </c>
      <c r="E185" s="13">
        <v>3.3</v>
      </c>
      <c r="F185" s="48">
        <v>120</v>
      </c>
      <c r="G185" s="17">
        <f t="shared" si="11"/>
        <v>1.04</v>
      </c>
      <c r="H185" s="48">
        <v>0</v>
      </c>
      <c r="I185" s="17">
        <f>1.05*25</f>
        <v>26.25</v>
      </c>
      <c r="J185" s="17">
        <f t="shared" si="12"/>
        <v>25.21</v>
      </c>
      <c r="K185" s="285"/>
      <c r="L185" s="282"/>
    </row>
    <row r="186" spans="1:12" s="101" customFormat="1" ht="15">
      <c r="A186" s="287">
        <v>18</v>
      </c>
      <c r="B186" s="85" t="s">
        <v>177</v>
      </c>
      <c r="C186" s="80" t="s">
        <v>310</v>
      </c>
      <c r="D186" s="121">
        <f>D187+D188</f>
        <v>12.079999999999998</v>
      </c>
      <c r="E186" s="126">
        <v>5.45</v>
      </c>
      <c r="F186" s="92">
        <v>20</v>
      </c>
      <c r="G186" s="93">
        <f t="shared" si="11"/>
        <v>6.629999999999998</v>
      </c>
      <c r="H186" s="92">
        <v>0</v>
      </c>
      <c r="I186" s="93">
        <f>1.05*6.3</f>
        <v>6.615</v>
      </c>
      <c r="J186" s="93">
        <f t="shared" si="12"/>
        <v>-0.014999999999997904</v>
      </c>
      <c r="K186" s="288">
        <f>MIN(J186:J188)</f>
        <v>-0.3049999999999988</v>
      </c>
      <c r="L186" s="289" t="s">
        <v>363</v>
      </c>
    </row>
    <row r="187" spans="1:12" s="101" customFormat="1" ht="15">
      <c r="A187" s="287"/>
      <c r="B187" s="85" t="s">
        <v>348</v>
      </c>
      <c r="C187" s="80">
        <v>6.3</v>
      </c>
      <c r="D187" s="121">
        <v>10.37</v>
      </c>
      <c r="E187" s="126">
        <v>3.45</v>
      </c>
      <c r="F187" s="92"/>
      <c r="G187" s="93">
        <f t="shared" si="11"/>
        <v>6.919999999999999</v>
      </c>
      <c r="H187" s="92">
        <v>0</v>
      </c>
      <c r="I187" s="93">
        <f>1.05*6.3</f>
        <v>6.615</v>
      </c>
      <c r="J187" s="93">
        <f t="shared" si="12"/>
        <v>-0.3049999999999988</v>
      </c>
      <c r="K187" s="288"/>
      <c r="L187" s="289"/>
    </row>
    <row r="188" spans="1:12" s="101" customFormat="1" ht="15">
      <c r="A188" s="287"/>
      <c r="B188" s="85" t="s">
        <v>349</v>
      </c>
      <c r="C188" s="80">
        <v>6.3</v>
      </c>
      <c r="D188" s="121">
        <v>1.71</v>
      </c>
      <c r="E188" s="126">
        <v>2</v>
      </c>
      <c r="F188" s="92">
        <v>20</v>
      </c>
      <c r="G188" s="93">
        <f t="shared" si="11"/>
        <v>-0.29000000000000004</v>
      </c>
      <c r="H188" s="92">
        <v>0</v>
      </c>
      <c r="I188" s="93">
        <f>1.05*6.3</f>
        <v>6.615</v>
      </c>
      <c r="J188" s="93">
        <f t="shared" si="12"/>
        <v>6.905</v>
      </c>
      <c r="K188" s="288"/>
      <c r="L188" s="289"/>
    </row>
    <row r="189" spans="1:12" s="101" customFormat="1" ht="15">
      <c r="A189" s="284">
        <v>19</v>
      </c>
      <c r="B189" s="84" t="s">
        <v>178</v>
      </c>
      <c r="C189" s="49" t="s">
        <v>318</v>
      </c>
      <c r="D189" s="17">
        <f>D190+D191</f>
        <v>12.920000000000002</v>
      </c>
      <c r="E189" s="13">
        <v>6.97</v>
      </c>
      <c r="F189" s="48">
        <v>120</v>
      </c>
      <c r="G189" s="17">
        <f t="shared" si="11"/>
        <v>5.950000000000002</v>
      </c>
      <c r="H189" s="48">
        <v>0</v>
      </c>
      <c r="I189" s="17">
        <f>1.05*15</f>
        <v>15.75</v>
      </c>
      <c r="J189" s="17">
        <f t="shared" si="12"/>
        <v>9.799999999999997</v>
      </c>
      <c r="K189" s="285">
        <f>MIN(J189:J191)</f>
        <v>9.799999999999997</v>
      </c>
      <c r="L189" s="282" t="s">
        <v>362</v>
      </c>
    </row>
    <row r="190" spans="1:12" s="101" customFormat="1" ht="15">
      <c r="A190" s="284"/>
      <c r="B190" s="84" t="s">
        <v>348</v>
      </c>
      <c r="C190" s="49" t="s">
        <v>318</v>
      </c>
      <c r="D190" s="17">
        <v>9.88</v>
      </c>
      <c r="E190" s="13">
        <v>6.6</v>
      </c>
      <c r="F190" s="48"/>
      <c r="G190" s="17">
        <f t="shared" si="11"/>
        <v>3.280000000000001</v>
      </c>
      <c r="H190" s="48">
        <v>0</v>
      </c>
      <c r="I190" s="17">
        <f>1.05*15</f>
        <v>15.75</v>
      </c>
      <c r="J190" s="17">
        <f t="shared" si="12"/>
        <v>12.469999999999999</v>
      </c>
      <c r="K190" s="285"/>
      <c r="L190" s="282"/>
    </row>
    <row r="191" spans="1:12" s="101" customFormat="1" ht="15">
      <c r="A191" s="284"/>
      <c r="B191" s="84" t="s">
        <v>349</v>
      </c>
      <c r="C191" s="49" t="s">
        <v>318</v>
      </c>
      <c r="D191" s="17">
        <v>3.04</v>
      </c>
      <c r="E191" s="13">
        <v>0.37</v>
      </c>
      <c r="F191" s="48">
        <v>120</v>
      </c>
      <c r="G191" s="17">
        <f t="shared" si="11"/>
        <v>2.67</v>
      </c>
      <c r="H191" s="48">
        <v>0</v>
      </c>
      <c r="I191" s="17">
        <f>1.05*15</f>
        <v>15.75</v>
      </c>
      <c r="J191" s="17">
        <f t="shared" si="12"/>
        <v>13.08</v>
      </c>
      <c r="K191" s="285"/>
      <c r="L191" s="282"/>
    </row>
    <row r="192" spans="1:12" s="101" customFormat="1" ht="15">
      <c r="A192" s="284">
        <v>20</v>
      </c>
      <c r="B192" s="84" t="s">
        <v>179</v>
      </c>
      <c r="C192" s="49" t="s">
        <v>312</v>
      </c>
      <c r="D192" s="60">
        <f>D193+D194</f>
        <v>1.59</v>
      </c>
      <c r="E192" s="13">
        <v>4.5</v>
      </c>
      <c r="F192" s="48">
        <v>120</v>
      </c>
      <c r="G192" s="17">
        <f t="shared" si="11"/>
        <v>-2.91</v>
      </c>
      <c r="H192" s="48">
        <v>0</v>
      </c>
      <c r="I192" s="17">
        <f>1.05*16</f>
        <v>16.8</v>
      </c>
      <c r="J192" s="17">
        <f t="shared" si="12"/>
        <v>19.71</v>
      </c>
      <c r="K192" s="285">
        <f>MIN(J192:J194)</f>
        <v>17.89</v>
      </c>
      <c r="L192" s="282" t="s">
        <v>362</v>
      </c>
    </row>
    <row r="193" spans="1:12" s="101" customFormat="1" ht="15">
      <c r="A193" s="284"/>
      <c r="B193" s="84" t="s">
        <v>348</v>
      </c>
      <c r="C193" s="49">
        <v>16</v>
      </c>
      <c r="D193" s="60">
        <v>1.51</v>
      </c>
      <c r="E193" s="13">
        <v>2.6</v>
      </c>
      <c r="F193" s="48"/>
      <c r="G193" s="17">
        <f t="shared" si="11"/>
        <v>-1.09</v>
      </c>
      <c r="H193" s="48">
        <v>0</v>
      </c>
      <c r="I193" s="17">
        <f>1.05*16</f>
        <v>16.8</v>
      </c>
      <c r="J193" s="17">
        <f t="shared" si="12"/>
        <v>17.89</v>
      </c>
      <c r="K193" s="285"/>
      <c r="L193" s="282"/>
    </row>
    <row r="194" spans="1:12" s="101" customFormat="1" ht="15">
      <c r="A194" s="284"/>
      <c r="B194" s="84" t="s">
        <v>349</v>
      </c>
      <c r="C194" s="49">
        <v>16</v>
      </c>
      <c r="D194" s="60">
        <v>0.08</v>
      </c>
      <c r="E194" s="13">
        <v>1.9</v>
      </c>
      <c r="F194" s="48">
        <v>120</v>
      </c>
      <c r="G194" s="17">
        <f t="shared" si="11"/>
        <v>-1.8199999999999998</v>
      </c>
      <c r="H194" s="48">
        <v>0</v>
      </c>
      <c r="I194" s="17">
        <f>1.05*16</f>
        <v>16.8</v>
      </c>
      <c r="J194" s="17">
        <f t="shared" si="12"/>
        <v>18.62</v>
      </c>
      <c r="K194" s="285"/>
      <c r="L194" s="282"/>
    </row>
    <row r="195" spans="1:12" s="101" customFormat="1" ht="15">
      <c r="A195" s="284">
        <v>21</v>
      </c>
      <c r="B195" s="84" t="s">
        <v>180</v>
      </c>
      <c r="C195" s="49" t="s">
        <v>319</v>
      </c>
      <c r="D195" s="17">
        <f>D196+D197</f>
        <v>52.36</v>
      </c>
      <c r="E195" s="13">
        <v>16.36</v>
      </c>
      <c r="F195" s="48">
        <v>120</v>
      </c>
      <c r="G195" s="17">
        <f t="shared" si="11"/>
        <v>36</v>
      </c>
      <c r="H195" s="48">
        <v>0</v>
      </c>
      <c r="I195" s="17">
        <f>1.05*40</f>
        <v>42</v>
      </c>
      <c r="J195" s="17">
        <f t="shared" si="12"/>
        <v>6</v>
      </c>
      <c r="K195" s="285">
        <f>MIN(J195:J197)</f>
        <v>6</v>
      </c>
      <c r="L195" s="282" t="s">
        <v>362</v>
      </c>
    </row>
    <row r="196" spans="1:12" s="101" customFormat="1" ht="15">
      <c r="A196" s="284"/>
      <c r="B196" s="84" t="s">
        <v>348</v>
      </c>
      <c r="C196" s="49">
        <v>40</v>
      </c>
      <c r="D196" s="17">
        <v>28.33</v>
      </c>
      <c r="E196" s="13">
        <v>13.06</v>
      </c>
      <c r="F196" s="48">
        <v>120</v>
      </c>
      <c r="G196" s="17">
        <f t="shared" si="11"/>
        <v>15.269999999999998</v>
      </c>
      <c r="H196" s="48">
        <v>0</v>
      </c>
      <c r="I196" s="17">
        <f>1.05*40</f>
        <v>42</v>
      </c>
      <c r="J196" s="17">
        <f t="shared" si="12"/>
        <v>26.730000000000004</v>
      </c>
      <c r="K196" s="285"/>
      <c r="L196" s="282"/>
    </row>
    <row r="197" spans="1:12" s="101" customFormat="1" ht="15">
      <c r="A197" s="284"/>
      <c r="B197" s="84" t="s">
        <v>349</v>
      </c>
      <c r="C197" s="49">
        <v>40</v>
      </c>
      <c r="D197" s="17">
        <v>24.03</v>
      </c>
      <c r="E197" s="13">
        <v>3.3</v>
      </c>
      <c r="F197" s="48">
        <v>120</v>
      </c>
      <c r="G197" s="17">
        <f t="shared" si="11"/>
        <v>20.73</v>
      </c>
      <c r="H197" s="48">
        <v>0</v>
      </c>
      <c r="I197" s="17">
        <f>1.05*40</f>
        <v>42</v>
      </c>
      <c r="J197" s="17">
        <f t="shared" si="12"/>
        <v>21.27</v>
      </c>
      <c r="K197" s="285"/>
      <c r="L197" s="282"/>
    </row>
    <row r="198" spans="1:12" s="101" customFormat="1" ht="15">
      <c r="A198" s="284">
        <v>22</v>
      </c>
      <c r="B198" s="84" t="s">
        <v>181</v>
      </c>
      <c r="C198" s="49" t="s">
        <v>312</v>
      </c>
      <c r="D198" s="17">
        <f>D199+D200</f>
        <v>3.7</v>
      </c>
      <c r="E198" s="13">
        <v>1.2</v>
      </c>
      <c r="F198" s="48">
        <v>120</v>
      </c>
      <c r="G198" s="17">
        <f t="shared" si="11"/>
        <v>2.5</v>
      </c>
      <c r="H198" s="48">
        <v>0</v>
      </c>
      <c r="I198" s="17">
        <f>1.05*16</f>
        <v>16.8</v>
      </c>
      <c r="J198" s="17">
        <f t="shared" si="12"/>
        <v>14.3</v>
      </c>
      <c r="K198" s="285">
        <f>MIN(J198:J200)</f>
        <v>14.3</v>
      </c>
      <c r="L198" s="282" t="s">
        <v>362</v>
      </c>
    </row>
    <row r="199" spans="1:12" s="101" customFormat="1" ht="15">
      <c r="A199" s="284"/>
      <c r="B199" s="84" t="s">
        <v>348</v>
      </c>
      <c r="C199" s="49">
        <v>16</v>
      </c>
      <c r="D199" s="17">
        <v>0</v>
      </c>
      <c r="E199" s="13"/>
      <c r="F199" s="48"/>
      <c r="G199" s="17">
        <f t="shared" si="11"/>
        <v>0</v>
      </c>
      <c r="H199" s="48">
        <v>0</v>
      </c>
      <c r="I199" s="17">
        <f>1.05*16</f>
        <v>16.8</v>
      </c>
      <c r="J199" s="17">
        <f t="shared" si="12"/>
        <v>16.8</v>
      </c>
      <c r="K199" s="285"/>
      <c r="L199" s="282"/>
    </row>
    <row r="200" spans="1:12" s="101" customFormat="1" ht="15">
      <c r="A200" s="284"/>
      <c r="B200" s="84" t="s">
        <v>349</v>
      </c>
      <c r="C200" s="49">
        <v>16</v>
      </c>
      <c r="D200" s="17">
        <v>3.7</v>
      </c>
      <c r="E200" s="13">
        <v>1.2</v>
      </c>
      <c r="F200" s="48">
        <f>F198</f>
        <v>120</v>
      </c>
      <c r="G200" s="17">
        <f t="shared" si="11"/>
        <v>2.5</v>
      </c>
      <c r="H200" s="48">
        <v>0</v>
      </c>
      <c r="I200" s="17">
        <f>1.05*16</f>
        <v>16.8</v>
      </c>
      <c r="J200" s="17">
        <f t="shared" si="12"/>
        <v>14.3</v>
      </c>
      <c r="K200" s="285"/>
      <c r="L200" s="282"/>
    </row>
    <row r="201" spans="1:12" s="101" customFormat="1" ht="15">
      <c r="A201" s="48">
        <v>23</v>
      </c>
      <c r="B201" s="84" t="s">
        <v>182</v>
      </c>
      <c r="C201" s="49" t="s">
        <v>319</v>
      </c>
      <c r="D201" s="17">
        <v>6.37</v>
      </c>
      <c r="E201" s="13">
        <v>0</v>
      </c>
      <c r="F201" s="48">
        <v>0</v>
      </c>
      <c r="G201" s="17">
        <f t="shared" si="11"/>
        <v>6.37</v>
      </c>
      <c r="H201" s="48">
        <v>0</v>
      </c>
      <c r="I201" s="17">
        <f>1.05*40</f>
        <v>42</v>
      </c>
      <c r="J201" s="17">
        <f t="shared" si="12"/>
        <v>35.63</v>
      </c>
      <c r="K201" s="17">
        <f>J201</f>
        <v>35.63</v>
      </c>
      <c r="L201" s="23" t="s">
        <v>362</v>
      </c>
    </row>
    <row r="202" spans="1:12" s="101" customFormat="1" ht="15">
      <c r="A202" s="284">
        <v>24</v>
      </c>
      <c r="B202" s="84" t="s">
        <v>183</v>
      </c>
      <c r="C202" s="49" t="s">
        <v>320</v>
      </c>
      <c r="D202" s="17">
        <f>D203+D204</f>
        <v>10.280000000000001</v>
      </c>
      <c r="E202" s="13">
        <v>8</v>
      </c>
      <c r="F202" s="48">
        <v>120</v>
      </c>
      <c r="G202" s="17">
        <f t="shared" si="11"/>
        <v>2.280000000000001</v>
      </c>
      <c r="H202" s="48">
        <v>0</v>
      </c>
      <c r="I202" s="17">
        <f aca="true" t="shared" si="14" ref="I202:I208">1.05*10</f>
        <v>10.5</v>
      </c>
      <c r="J202" s="17">
        <f t="shared" si="12"/>
        <v>8.219999999999999</v>
      </c>
      <c r="K202" s="285">
        <f>MIN(J202:J204)</f>
        <v>8.18</v>
      </c>
      <c r="L202" s="282" t="s">
        <v>362</v>
      </c>
    </row>
    <row r="203" spans="1:12" s="101" customFormat="1" ht="15">
      <c r="A203" s="284"/>
      <c r="B203" s="84" t="s">
        <v>348</v>
      </c>
      <c r="C203" s="49" t="s">
        <v>320</v>
      </c>
      <c r="D203" s="17">
        <v>8.22</v>
      </c>
      <c r="E203" s="13">
        <v>5.9</v>
      </c>
      <c r="F203" s="48"/>
      <c r="G203" s="17">
        <f t="shared" si="11"/>
        <v>2.3200000000000003</v>
      </c>
      <c r="H203" s="48">
        <v>0</v>
      </c>
      <c r="I203" s="17">
        <f t="shared" si="14"/>
        <v>10.5</v>
      </c>
      <c r="J203" s="17">
        <f t="shared" si="12"/>
        <v>8.18</v>
      </c>
      <c r="K203" s="285"/>
      <c r="L203" s="282"/>
    </row>
    <row r="204" spans="1:12" s="101" customFormat="1" ht="15">
      <c r="A204" s="284"/>
      <c r="B204" s="84" t="s">
        <v>349</v>
      </c>
      <c r="C204" s="49" t="s">
        <v>320</v>
      </c>
      <c r="D204" s="17">
        <v>2.06</v>
      </c>
      <c r="E204" s="13">
        <v>2.1</v>
      </c>
      <c r="F204" s="48"/>
      <c r="G204" s="17">
        <f t="shared" si="11"/>
        <v>-0.040000000000000036</v>
      </c>
      <c r="H204" s="48">
        <v>0</v>
      </c>
      <c r="I204" s="17">
        <f t="shared" si="14"/>
        <v>10.5</v>
      </c>
      <c r="J204" s="17">
        <f t="shared" si="12"/>
        <v>10.54</v>
      </c>
      <c r="K204" s="285"/>
      <c r="L204" s="282"/>
    </row>
    <row r="205" spans="1:12" s="101" customFormat="1" ht="15">
      <c r="A205" s="48">
        <v>25</v>
      </c>
      <c r="B205" s="84" t="s">
        <v>184</v>
      </c>
      <c r="C205" s="49" t="s">
        <v>321</v>
      </c>
      <c r="D205" s="17">
        <v>10.27</v>
      </c>
      <c r="E205" s="13">
        <v>4.1</v>
      </c>
      <c r="F205" s="48">
        <v>0</v>
      </c>
      <c r="G205" s="17">
        <f t="shared" si="11"/>
        <v>6.17</v>
      </c>
      <c r="H205" s="48">
        <v>0</v>
      </c>
      <c r="I205" s="17">
        <f t="shared" si="14"/>
        <v>10.5</v>
      </c>
      <c r="J205" s="17">
        <f t="shared" si="12"/>
        <v>4.33</v>
      </c>
      <c r="K205" s="17">
        <f>J205</f>
        <v>4.33</v>
      </c>
      <c r="L205" s="23" t="s">
        <v>362</v>
      </c>
    </row>
    <row r="206" spans="1:12" s="101" customFormat="1" ht="15">
      <c r="A206" s="284">
        <v>26</v>
      </c>
      <c r="B206" s="84" t="s">
        <v>185</v>
      </c>
      <c r="C206" s="49" t="s">
        <v>315</v>
      </c>
      <c r="D206" s="17">
        <f>D207+D208</f>
        <v>9.69</v>
      </c>
      <c r="E206" s="13">
        <v>6.63</v>
      </c>
      <c r="F206" s="48">
        <v>10</v>
      </c>
      <c r="G206" s="17">
        <f t="shared" si="11"/>
        <v>3.0599999999999996</v>
      </c>
      <c r="H206" s="48">
        <v>0</v>
      </c>
      <c r="I206" s="17">
        <f t="shared" si="14"/>
        <v>10.5</v>
      </c>
      <c r="J206" s="17">
        <f t="shared" si="12"/>
        <v>7.44</v>
      </c>
      <c r="K206" s="285">
        <f>MIN(J206:J208)</f>
        <v>5.94</v>
      </c>
      <c r="L206" s="282" t="s">
        <v>362</v>
      </c>
    </row>
    <row r="207" spans="1:12" s="101" customFormat="1" ht="15">
      <c r="A207" s="284"/>
      <c r="B207" s="84" t="s">
        <v>348</v>
      </c>
      <c r="C207" s="49">
        <v>10</v>
      </c>
      <c r="D207" s="17">
        <v>4.56</v>
      </c>
      <c r="E207" s="13">
        <v>6.06</v>
      </c>
      <c r="F207" s="48"/>
      <c r="G207" s="17">
        <f t="shared" si="11"/>
        <v>-1.5</v>
      </c>
      <c r="H207" s="48">
        <v>0</v>
      </c>
      <c r="I207" s="17">
        <f t="shared" si="14"/>
        <v>10.5</v>
      </c>
      <c r="J207" s="17">
        <f t="shared" si="12"/>
        <v>12</v>
      </c>
      <c r="K207" s="285"/>
      <c r="L207" s="282"/>
    </row>
    <row r="208" spans="1:12" s="101" customFormat="1" ht="15">
      <c r="A208" s="284"/>
      <c r="B208" s="84" t="s">
        <v>349</v>
      </c>
      <c r="C208" s="49">
        <v>10</v>
      </c>
      <c r="D208" s="17">
        <v>5.13</v>
      </c>
      <c r="E208" s="13">
        <v>0.57</v>
      </c>
      <c r="F208" s="48">
        <v>120</v>
      </c>
      <c r="G208" s="17">
        <f t="shared" si="11"/>
        <v>4.56</v>
      </c>
      <c r="H208" s="48">
        <v>0</v>
      </c>
      <c r="I208" s="17">
        <f t="shared" si="14"/>
        <v>10.5</v>
      </c>
      <c r="J208" s="17">
        <f t="shared" si="12"/>
        <v>5.94</v>
      </c>
      <c r="K208" s="285"/>
      <c r="L208" s="282"/>
    </row>
    <row r="209" spans="1:12" s="101" customFormat="1" ht="15">
      <c r="A209" s="48">
        <v>27</v>
      </c>
      <c r="B209" s="84" t="s">
        <v>186</v>
      </c>
      <c r="C209" s="49" t="s">
        <v>319</v>
      </c>
      <c r="D209" s="17">
        <v>2.34</v>
      </c>
      <c r="E209" s="13">
        <v>0</v>
      </c>
      <c r="F209" s="48">
        <v>0</v>
      </c>
      <c r="G209" s="17">
        <f t="shared" si="11"/>
        <v>2.34</v>
      </c>
      <c r="H209" s="48">
        <v>0</v>
      </c>
      <c r="I209" s="17">
        <v>42</v>
      </c>
      <c r="J209" s="17">
        <f t="shared" si="12"/>
        <v>39.66</v>
      </c>
      <c r="K209" s="17">
        <f>J209</f>
        <v>39.66</v>
      </c>
      <c r="L209" s="23" t="s">
        <v>362</v>
      </c>
    </row>
    <row r="210" spans="1:12" s="101" customFormat="1" ht="15">
      <c r="A210" s="284">
        <v>28</v>
      </c>
      <c r="B210" s="84" t="s">
        <v>187</v>
      </c>
      <c r="C210" s="49" t="s">
        <v>316</v>
      </c>
      <c r="D210" s="17">
        <f>D211+D212</f>
        <v>13.76</v>
      </c>
      <c r="E210" s="13">
        <v>4</v>
      </c>
      <c r="F210" s="48">
        <v>120</v>
      </c>
      <c r="G210" s="17">
        <f t="shared" si="11"/>
        <v>9.76</v>
      </c>
      <c r="H210" s="48">
        <v>0</v>
      </c>
      <c r="I210" s="17">
        <f>1.05*25</f>
        <v>26.25</v>
      </c>
      <c r="J210" s="17">
        <f t="shared" si="12"/>
        <v>16.490000000000002</v>
      </c>
      <c r="K210" s="285">
        <f>MIN(J210:J212)</f>
        <v>16.490000000000002</v>
      </c>
      <c r="L210" s="282" t="s">
        <v>362</v>
      </c>
    </row>
    <row r="211" spans="1:12" s="101" customFormat="1" ht="15">
      <c r="A211" s="284"/>
      <c r="B211" s="84" t="s">
        <v>348</v>
      </c>
      <c r="C211" s="49">
        <v>25</v>
      </c>
      <c r="D211" s="17">
        <v>2.07</v>
      </c>
      <c r="E211" s="13"/>
      <c r="F211" s="48"/>
      <c r="G211" s="17">
        <f t="shared" si="11"/>
        <v>2.07</v>
      </c>
      <c r="H211" s="48">
        <v>0</v>
      </c>
      <c r="I211" s="17">
        <f>1.05*25</f>
        <v>26.25</v>
      </c>
      <c r="J211" s="17">
        <f t="shared" si="12"/>
        <v>24.18</v>
      </c>
      <c r="K211" s="285"/>
      <c r="L211" s="282"/>
    </row>
    <row r="212" spans="1:12" s="101" customFormat="1" ht="15">
      <c r="A212" s="284"/>
      <c r="B212" s="84" t="s">
        <v>349</v>
      </c>
      <c r="C212" s="49">
        <v>25</v>
      </c>
      <c r="D212" s="17">
        <v>11.69</v>
      </c>
      <c r="E212" s="13">
        <v>4</v>
      </c>
      <c r="F212" s="48">
        <v>120</v>
      </c>
      <c r="G212" s="17">
        <f t="shared" si="11"/>
        <v>7.6899999999999995</v>
      </c>
      <c r="H212" s="48">
        <v>0</v>
      </c>
      <c r="I212" s="17">
        <f>1.05*25</f>
        <v>26.25</v>
      </c>
      <c r="J212" s="17">
        <f t="shared" si="12"/>
        <v>18.560000000000002</v>
      </c>
      <c r="K212" s="285"/>
      <c r="L212" s="282"/>
    </row>
    <row r="213" spans="1:12" s="101" customFormat="1" ht="15">
      <c r="A213" s="286">
        <v>29</v>
      </c>
      <c r="B213" s="84" t="s">
        <v>24</v>
      </c>
      <c r="C213" s="49" t="s">
        <v>312</v>
      </c>
      <c r="D213" s="56">
        <f>D214+D215</f>
        <v>8.94</v>
      </c>
      <c r="E213" s="11">
        <v>10.6</v>
      </c>
      <c r="F213" s="102">
        <v>120</v>
      </c>
      <c r="G213" s="56">
        <f t="shared" si="11"/>
        <v>-1.6600000000000001</v>
      </c>
      <c r="H213" s="102">
        <v>0</v>
      </c>
      <c r="I213" s="56">
        <f>1.05*16</f>
        <v>16.8</v>
      </c>
      <c r="J213" s="17">
        <f t="shared" si="12"/>
        <v>18.46</v>
      </c>
      <c r="K213" s="285">
        <f>MIN(J213:J215)</f>
        <v>17.42</v>
      </c>
      <c r="L213" s="282" t="s">
        <v>362</v>
      </c>
    </row>
    <row r="214" spans="1:12" s="101" customFormat="1" ht="15">
      <c r="A214" s="286"/>
      <c r="B214" s="84" t="s">
        <v>348</v>
      </c>
      <c r="C214" s="49">
        <v>16</v>
      </c>
      <c r="D214" s="56">
        <v>4.26</v>
      </c>
      <c r="E214" s="11">
        <v>5.3</v>
      </c>
      <c r="F214" s="102"/>
      <c r="G214" s="56">
        <f t="shared" si="11"/>
        <v>-1.04</v>
      </c>
      <c r="H214" s="102">
        <v>0</v>
      </c>
      <c r="I214" s="56">
        <f>1.05*16</f>
        <v>16.8</v>
      </c>
      <c r="J214" s="17">
        <f t="shared" si="12"/>
        <v>17.84</v>
      </c>
      <c r="K214" s="285"/>
      <c r="L214" s="282"/>
    </row>
    <row r="215" spans="1:12" s="101" customFormat="1" ht="15">
      <c r="A215" s="286"/>
      <c r="B215" s="84" t="s">
        <v>349</v>
      </c>
      <c r="C215" s="49">
        <v>16</v>
      </c>
      <c r="D215" s="56">
        <v>4.68</v>
      </c>
      <c r="E215" s="11">
        <v>5.3</v>
      </c>
      <c r="F215" s="102">
        <v>120</v>
      </c>
      <c r="G215" s="56">
        <f t="shared" si="11"/>
        <v>-0.6200000000000001</v>
      </c>
      <c r="H215" s="102">
        <v>0</v>
      </c>
      <c r="I215" s="56">
        <f>1.05*16</f>
        <v>16.8</v>
      </c>
      <c r="J215" s="17">
        <f t="shared" si="12"/>
        <v>17.42</v>
      </c>
      <c r="K215" s="285"/>
      <c r="L215" s="282"/>
    </row>
    <row r="216" spans="1:12" s="101" customFormat="1" ht="15">
      <c r="A216" s="284">
        <v>30</v>
      </c>
      <c r="B216" s="84" t="s">
        <v>188</v>
      </c>
      <c r="C216" s="49" t="s">
        <v>309</v>
      </c>
      <c r="D216" s="17">
        <f>D217+D218</f>
        <v>5.9</v>
      </c>
      <c r="E216" s="13">
        <v>13.1</v>
      </c>
      <c r="F216" s="48">
        <v>120</v>
      </c>
      <c r="G216" s="17">
        <f aca="true" t="shared" si="15" ref="G216:G282">D216-E216</f>
        <v>-7.199999999999999</v>
      </c>
      <c r="H216" s="48">
        <v>0</v>
      </c>
      <c r="I216" s="17">
        <f>1.05*6.3</f>
        <v>6.615</v>
      </c>
      <c r="J216" s="17">
        <f t="shared" si="12"/>
        <v>13.815</v>
      </c>
      <c r="K216" s="285">
        <f>MIN(J216:J218)</f>
        <v>6.715</v>
      </c>
      <c r="L216" s="282" t="s">
        <v>362</v>
      </c>
    </row>
    <row r="217" spans="1:12" s="101" customFormat="1" ht="15">
      <c r="A217" s="284"/>
      <c r="B217" s="84" t="s">
        <v>348</v>
      </c>
      <c r="C217" s="49" t="s">
        <v>309</v>
      </c>
      <c r="D217" s="17">
        <v>4.7</v>
      </c>
      <c r="E217" s="13">
        <v>11.8</v>
      </c>
      <c r="F217" s="48"/>
      <c r="G217" s="17">
        <f t="shared" si="15"/>
        <v>-7.1000000000000005</v>
      </c>
      <c r="H217" s="48">
        <v>0</v>
      </c>
      <c r="I217" s="17">
        <f>1.05*6.3</f>
        <v>6.615</v>
      </c>
      <c r="J217" s="17">
        <f aca="true" t="shared" si="16" ref="J217:J283">I217-H217-G217</f>
        <v>13.715</v>
      </c>
      <c r="K217" s="285"/>
      <c r="L217" s="282"/>
    </row>
    <row r="218" spans="1:12" s="101" customFormat="1" ht="15">
      <c r="A218" s="284"/>
      <c r="B218" s="84" t="s">
        <v>349</v>
      </c>
      <c r="C218" s="49" t="s">
        <v>309</v>
      </c>
      <c r="D218" s="17">
        <v>1.2</v>
      </c>
      <c r="E218" s="13">
        <v>1.3</v>
      </c>
      <c r="F218" s="48"/>
      <c r="G218" s="17">
        <f t="shared" si="15"/>
        <v>-0.10000000000000009</v>
      </c>
      <c r="H218" s="48">
        <v>0</v>
      </c>
      <c r="I218" s="17">
        <f>1.05*6.3</f>
        <v>6.615</v>
      </c>
      <c r="J218" s="17">
        <f t="shared" si="16"/>
        <v>6.715</v>
      </c>
      <c r="K218" s="285"/>
      <c r="L218" s="282"/>
    </row>
    <row r="219" spans="1:12" s="101" customFormat="1" ht="15">
      <c r="A219" s="284">
        <v>31</v>
      </c>
      <c r="B219" s="84" t="s">
        <v>189</v>
      </c>
      <c r="C219" s="49" t="s">
        <v>312</v>
      </c>
      <c r="D219" s="17">
        <f>D220+D221</f>
        <v>7.38</v>
      </c>
      <c r="E219" s="13">
        <v>9.35</v>
      </c>
      <c r="F219" s="48">
        <v>10</v>
      </c>
      <c r="G219" s="17">
        <f t="shared" si="15"/>
        <v>-1.9699999999999998</v>
      </c>
      <c r="H219" s="48">
        <v>0</v>
      </c>
      <c r="I219" s="17">
        <f>1.05*16</f>
        <v>16.8</v>
      </c>
      <c r="J219" s="17">
        <f t="shared" si="16"/>
        <v>18.77</v>
      </c>
      <c r="K219" s="285">
        <f>MIN(J219:J221)</f>
        <v>16.89</v>
      </c>
      <c r="L219" s="282" t="s">
        <v>362</v>
      </c>
    </row>
    <row r="220" spans="1:12" s="101" customFormat="1" ht="15">
      <c r="A220" s="284"/>
      <c r="B220" s="84" t="s">
        <v>348</v>
      </c>
      <c r="C220" s="49">
        <v>16</v>
      </c>
      <c r="D220" s="17">
        <v>7.21</v>
      </c>
      <c r="E220" s="13">
        <v>9.09</v>
      </c>
      <c r="F220" s="48"/>
      <c r="G220" s="17">
        <f t="shared" si="15"/>
        <v>-1.88</v>
      </c>
      <c r="H220" s="48">
        <v>0</v>
      </c>
      <c r="I220" s="17">
        <f>1.05*16</f>
        <v>16.8</v>
      </c>
      <c r="J220" s="17">
        <f t="shared" si="16"/>
        <v>18.68</v>
      </c>
      <c r="K220" s="285"/>
      <c r="L220" s="282"/>
    </row>
    <row r="221" spans="1:12" s="101" customFormat="1" ht="15">
      <c r="A221" s="284"/>
      <c r="B221" s="84" t="s">
        <v>349</v>
      </c>
      <c r="C221" s="49">
        <v>16</v>
      </c>
      <c r="D221" s="17">
        <v>0.17</v>
      </c>
      <c r="E221" s="13">
        <v>0.26</v>
      </c>
      <c r="F221" s="48">
        <v>120</v>
      </c>
      <c r="G221" s="17">
        <f t="shared" si="15"/>
        <v>-0.09</v>
      </c>
      <c r="H221" s="48">
        <v>0</v>
      </c>
      <c r="I221" s="17">
        <f>1.05*16</f>
        <v>16.8</v>
      </c>
      <c r="J221" s="17">
        <f t="shared" si="16"/>
        <v>16.89</v>
      </c>
      <c r="K221" s="285"/>
      <c r="L221" s="282"/>
    </row>
    <row r="222" spans="1:12" s="101" customFormat="1" ht="15">
      <c r="A222" s="284">
        <v>32</v>
      </c>
      <c r="B222" s="84" t="s">
        <v>190</v>
      </c>
      <c r="C222" s="49" t="s">
        <v>309</v>
      </c>
      <c r="D222" s="17">
        <f>D223+D224</f>
        <v>5.8100000000000005</v>
      </c>
      <c r="E222" s="13">
        <v>9.6</v>
      </c>
      <c r="F222" s="48">
        <v>120</v>
      </c>
      <c r="G222" s="17">
        <f t="shared" si="15"/>
        <v>-3.789999999999999</v>
      </c>
      <c r="H222" s="48">
        <v>0</v>
      </c>
      <c r="I222" s="17">
        <f>1.05*6.3</f>
        <v>6.615</v>
      </c>
      <c r="J222" s="17">
        <f t="shared" si="16"/>
        <v>10.405</v>
      </c>
      <c r="K222" s="285">
        <f>MIN(J222:J224)</f>
        <v>8.024999999999999</v>
      </c>
      <c r="L222" s="282" t="s">
        <v>362</v>
      </c>
    </row>
    <row r="223" spans="1:12" s="101" customFormat="1" ht="15">
      <c r="A223" s="284"/>
      <c r="B223" s="84" t="s">
        <v>348</v>
      </c>
      <c r="C223" s="49" t="s">
        <v>309</v>
      </c>
      <c r="D223" s="17">
        <v>5.19</v>
      </c>
      <c r="E223" s="13">
        <v>6.6</v>
      </c>
      <c r="F223" s="48">
        <v>120</v>
      </c>
      <c r="G223" s="17">
        <f t="shared" si="15"/>
        <v>-1.4099999999999993</v>
      </c>
      <c r="H223" s="48">
        <v>0</v>
      </c>
      <c r="I223" s="17">
        <f>1.05*6.3</f>
        <v>6.615</v>
      </c>
      <c r="J223" s="17">
        <f t="shared" si="16"/>
        <v>8.024999999999999</v>
      </c>
      <c r="K223" s="285"/>
      <c r="L223" s="282"/>
    </row>
    <row r="224" spans="1:12" s="101" customFormat="1" ht="15">
      <c r="A224" s="284"/>
      <c r="B224" s="84" t="s">
        <v>349</v>
      </c>
      <c r="C224" s="49" t="s">
        <v>309</v>
      </c>
      <c r="D224" s="17">
        <v>0.62</v>
      </c>
      <c r="E224" s="13">
        <v>3</v>
      </c>
      <c r="F224" s="48">
        <v>45</v>
      </c>
      <c r="G224" s="17">
        <f t="shared" si="15"/>
        <v>-2.38</v>
      </c>
      <c r="H224" s="48">
        <v>0</v>
      </c>
      <c r="I224" s="17">
        <f>1.05*6.3</f>
        <v>6.615</v>
      </c>
      <c r="J224" s="17">
        <f t="shared" si="16"/>
        <v>8.995000000000001</v>
      </c>
      <c r="K224" s="285"/>
      <c r="L224" s="282"/>
    </row>
    <row r="225" spans="1:12" s="101" customFormat="1" ht="15">
      <c r="A225" s="48">
        <v>33</v>
      </c>
      <c r="B225" s="84" t="s">
        <v>191</v>
      </c>
      <c r="C225" s="49" t="s">
        <v>310</v>
      </c>
      <c r="D225" s="59">
        <v>0.61</v>
      </c>
      <c r="E225" s="13">
        <v>0.55</v>
      </c>
      <c r="F225" s="48">
        <v>120</v>
      </c>
      <c r="G225" s="17">
        <f t="shared" si="15"/>
        <v>0.05999999999999994</v>
      </c>
      <c r="H225" s="48">
        <v>0</v>
      </c>
      <c r="I225" s="17">
        <v>6.615</v>
      </c>
      <c r="J225" s="17">
        <f t="shared" si="16"/>
        <v>6.555000000000001</v>
      </c>
      <c r="K225" s="17">
        <f>J225</f>
        <v>6.555000000000001</v>
      </c>
      <c r="L225" s="23" t="s">
        <v>362</v>
      </c>
    </row>
    <row r="226" spans="1:12" s="101" customFormat="1" ht="15">
      <c r="A226" s="284">
        <v>34</v>
      </c>
      <c r="B226" s="84" t="s">
        <v>192</v>
      </c>
      <c r="C226" s="49" t="s">
        <v>321</v>
      </c>
      <c r="D226" s="17">
        <f>D227+D228</f>
        <v>6.09</v>
      </c>
      <c r="E226" s="13">
        <v>8.11</v>
      </c>
      <c r="F226" s="48">
        <v>120</v>
      </c>
      <c r="G226" s="17">
        <f t="shared" si="15"/>
        <v>-2.0199999999999996</v>
      </c>
      <c r="H226" s="48">
        <v>0</v>
      </c>
      <c r="I226" s="17">
        <f>1.05*10</f>
        <v>10.5</v>
      </c>
      <c r="J226" s="17">
        <f t="shared" si="16"/>
        <v>12.52</v>
      </c>
      <c r="K226" s="285">
        <f>MIN(J226:J228)</f>
        <v>11.41</v>
      </c>
      <c r="L226" s="282" t="s">
        <v>362</v>
      </c>
    </row>
    <row r="227" spans="1:12" s="101" customFormat="1" ht="15">
      <c r="A227" s="284"/>
      <c r="B227" s="84" t="s">
        <v>348</v>
      </c>
      <c r="C227" s="49" t="s">
        <v>321</v>
      </c>
      <c r="D227" s="17">
        <v>3.79</v>
      </c>
      <c r="E227" s="13">
        <v>4.9</v>
      </c>
      <c r="F227" s="48"/>
      <c r="G227" s="17">
        <f t="shared" si="15"/>
        <v>-1.1100000000000003</v>
      </c>
      <c r="H227" s="48">
        <v>0</v>
      </c>
      <c r="I227" s="17">
        <f aca="true" t="shared" si="17" ref="I227:I232">1.05*10</f>
        <v>10.5</v>
      </c>
      <c r="J227" s="17">
        <f t="shared" si="16"/>
        <v>11.61</v>
      </c>
      <c r="K227" s="285"/>
      <c r="L227" s="282"/>
    </row>
    <row r="228" spans="1:12" s="101" customFormat="1" ht="15">
      <c r="A228" s="284"/>
      <c r="B228" s="84" t="s">
        <v>349</v>
      </c>
      <c r="C228" s="49" t="s">
        <v>321</v>
      </c>
      <c r="D228" s="17">
        <v>2.3</v>
      </c>
      <c r="E228" s="13">
        <v>3.21</v>
      </c>
      <c r="F228" s="48"/>
      <c r="G228" s="17">
        <f t="shared" si="15"/>
        <v>-0.9100000000000001</v>
      </c>
      <c r="H228" s="48">
        <v>0</v>
      </c>
      <c r="I228" s="17">
        <f t="shared" si="17"/>
        <v>10.5</v>
      </c>
      <c r="J228" s="17">
        <f t="shared" si="16"/>
        <v>11.41</v>
      </c>
      <c r="K228" s="285"/>
      <c r="L228" s="282"/>
    </row>
    <row r="229" spans="1:12" s="101" customFormat="1" ht="15">
      <c r="A229" s="284">
        <v>35</v>
      </c>
      <c r="B229" s="84" t="s">
        <v>193</v>
      </c>
      <c r="C229" s="49" t="s">
        <v>315</v>
      </c>
      <c r="D229" s="17">
        <f>D230+D231</f>
        <v>7.289999999999999</v>
      </c>
      <c r="E229" s="13">
        <v>19.220000000000002</v>
      </c>
      <c r="F229" s="48">
        <v>120</v>
      </c>
      <c r="G229" s="17">
        <f t="shared" si="15"/>
        <v>-11.930000000000003</v>
      </c>
      <c r="H229" s="48">
        <v>0</v>
      </c>
      <c r="I229" s="17">
        <f t="shared" si="17"/>
        <v>10.5</v>
      </c>
      <c r="J229" s="17">
        <f t="shared" si="16"/>
        <v>22.430000000000003</v>
      </c>
      <c r="K229" s="285">
        <f>MIN(J229:J231)</f>
        <v>8.31</v>
      </c>
      <c r="L229" s="282" t="s">
        <v>362</v>
      </c>
    </row>
    <row r="230" spans="1:12" s="101" customFormat="1" ht="15">
      <c r="A230" s="284"/>
      <c r="B230" s="84" t="s">
        <v>348</v>
      </c>
      <c r="C230" s="49">
        <v>10</v>
      </c>
      <c r="D230" s="17">
        <v>2.98</v>
      </c>
      <c r="E230" s="13">
        <v>17.1</v>
      </c>
      <c r="F230" s="48"/>
      <c r="G230" s="17">
        <f t="shared" si="15"/>
        <v>-14.120000000000001</v>
      </c>
      <c r="H230" s="48">
        <v>0</v>
      </c>
      <c r="I230" s="17">
        <f t="shared" si="17"/>
        <v>10.5</v>
      </c>
      <c r="J230" s="17">
        <f t="shared" si="16"/>
        <v>24.62</v>
      </c>
      <c r="K230" s="285"/>
      <c r="L230" s="282"/>
    </row>
    <row r="231" spans="1:12" s="101" customFormat="1" ht="15">
      <c r="A231" s="284"/>
      <c r="B231" s="84" t="s">
        <v>349</v>
      </c>
      <c r="C231" s="49">
        <v>10</v>
      </c>
      <c r="D231" s="17">
        <v>4.31</v>
      </c>
      <c r="E231" s="13">
        <v>2.12</v>
      </c>
      <c r="F231" s="48">
        <v>120</v>
      </c>
      <c r="G231" s="17">
        <f t="shared" si="15"/>
        <v>2.1899999999999995</v>
      </c>
      <c r="H231" s="48">
        <v>0</v>
      </c>
      <c r="I231" s="17">
        <f t="shared" si="17"/>
        <v>10.5</v>
      </c>
      <c r="J231" s="17">
        <f t="shared" si="16"/>
        <v>8.31</v>
      </c>
      <c r="K231" s="285"/>
      <c r="L231" s="282"/>
    </row>
    <row r="232" spans="1:12" s="101" customFormat="1" ht="15">
      <c r="A232" s="48">
        <v>36</v>
      </c>
      <c r="B232" s="84" t="s">
        <v>194</v>
      </c>
      <c r="C232" s="49" t="s">
        <v>315</v>
      </c>
      <c r="D232" s="17">
        <v>0.11</v>
      </c>
      <c r="E232" s="13"/>
      <c r="F232" s="48"/>
      <c r="G232" s="17">
        <f t="shared" si="15"/>
        <v>0.11</v>
      </c>
      <c r="H232" s="48">
        <v>0</v>
      </c>
      <c r="I232" s="17">
        <f t="shared" si="17"/>
        <v>10.5</v>
      </c>
      <c r="J232" s="17">
        <f t="shared" si="16"/>
        <v>10.39</v>
      </c>
      <c r="K232" s="17">
        <f>J232</f>
        <v>10.39</v>
      </c>
      <c r="L232" s="23" t="s">
        <v>362</v>
      </c>
    </row>
    <row r="233" spans="1:12" s="101" customFormat="1" ht="15">
      <c r="A233" s="284">
        <v>37</v>
      </c>
      <c r="B233" s="84" t="s">
        <v>195</v>
      </c>
      <c r="C233" s="49" t="s">
        <v>322</v>
      </c>
      <c r="D233" s="17">
        <f>D234+D235</f>
        <v>16.25</v>
      </c>
      <c r="E233" s="13">
        <v>26.86</v>
      </c>
      <c r="F233" s="48">
        <v>120</v>
      </c>
      <c r="G233" s="17">
        <f t="shared" si="15"/>
        <v>-10.61</v>
      </c>
      <c r="H233" s="48">
        <v>0</v>
      </c>
      <c r="I233" s="17">
        <f aca="true" t="shared" si="18" ref="I233:I238">1.05*16</f>
        <v>16.8</v>
      </c>
      <c r="J233" s="17">
        <f t="shared" si="16"/>
        <v>27.41</v>
      </c>
      <c r="K233" s="285">
        <f>MIN(J233:J235)</f>
        <v>12.010000000000002</v>
      </c>
      <c r="L233" s="282" t="s">
        <v>362</v>
      </c>
    </row>
    <row r="234" spans="1:12" s="101" customFormat="1" ht="15">
      <c r="A234" s="284"/>
      <c r="B234" s="84" t="s">
        <v>348</v>
      </c>
      <c r="C234" s="49" t="s">
        <v>322</v>
      </c>
      <c r="D234" s="17">
        <v>2</v>
      </c>
      <c r="E234" s="13">
        <v>17.4</v>
      </c>
      <c r="F234" s="48">
        <v>0</v>
      </c>
      <c r="G234" s="17">
        <f t="shared" si="15"/>
        <v>-15.399999999999999</v>
      </c>
      <c r="H234" s="48">
        <v>0</v>
      </c>
      <c r="I234" s="17">
        <f t="shared" si="18"/>
        <v>16.8</v>
      </c>
      <c r="J234" s="17">
        <f t="shared" si="16"/>
        <v>32.2</v>
      </c>
      <c r="K234" s="285"/>
      <c r="L234" s="282"/>
    </row>
    <row r="235" spans="1:12" s="101" customFormat="1" ht="15">
      <c r="A235" s="284"/>
      <c r="B235" s="84" t="s">
        <v>349</v>
      </c>
      <c r="C235" s="49" t="s">
        <v>322</v>
      </c>
      <c r="D235" s="17">
        <v>14.25</v>
      </c>
      <c r="E235" s="13">
        <v>9.46</v>
      </c>
      <c r="F235" s="48"/>
      <c r="G235" s="17">
        <f t="shared" si="15"/>
        <v>4.789999999999999</v>
      </c>
      <c r="H235" s="48">
        <v>0</v>
      </c>
      <c r="I235" s="17">
        <f t="shared" si="18"/>
        <v>16.8</v>
      </c>
      <c r="J235" s="17">
        <f t="shared" si="16"/>
        <v>12.010000000000002</v>
      </c>
      <c r="K235" s="285"/>
      <c r="L235" s="282"/>
    </row>
    <row r="236" spans="1:12" s="101" customFormat="1" ht="15">
      <c r="A236" s="284">
        <v>38</v>
      </c>
      <c r="B236" s="84" t="s">
        <v>196</v>
      </c>
      <c r="C236" s="49" t="s">
        <v>323</v>
      </c>
      <c r="D236" s="17">
        <f>D237+D238</f>
        <v>11.35</v>
      </c>
      <c r="E236" s="13">
        <v>15.5</v>
      </c>
      <c r="F236" s="48">
        <v>120</v>
      </c>
      <c r="G236" s="17">
        <f t="shared" si="15"/>
        <v>-4.15</v>
      </c>
      <c r="H236" s="48">
        <v>0</v>
      </c>
      <c r="I236" s="17">
        <f t="shared" si="18"/>
        <v>16.8</v>
      </c>
      <c r="J236" s="17">
        <f t="shared" si="16"/>
        <v>20.950000000000003</v>
      </c>
      <c r="K236" s="285">
        <f>MIN(J236:J238)</f>
        <v>14.38</v>
      </c>
      <c r="L236" s="282" t="s">
        <v>362</v>
      </c>
    </row>
    <row r="237" spans="1:12" s="101" customFormat="1" ht="15">
      <c r="A237" s="284"/>
      <c r="B237" s="84" t="s">
        <v>348</v>
      </c>
      <c r="C237" s="49">
        <v>16</v>
      </c>
      <c r="D237" s="17">
        <v>7.93</v>
      </c>
      <c r="E237" s="13">
        <v>14.5</v>
      </c>
      <c r="F237" s="48"/>
      <c r="G237" s="17">
        <f t="shared" si="15"/>
        <v>-6.57</v>
      </c>
      <c r="H237" s="48">
        <v>0</v>
      </c>
      <c r="I237" s="17">
        <f t="shared" si="18"/>
        <v>16.8</v>
      </c>
      <c r="J237" s="17">
        <f t="shared" si="16"/>
        <v>23.37</v>
      </c>
      <c r="K237" s="285"/>
      <c r="L237" s="282"/>
    </row>
    <row r="238" spans="1:12" s="101" customFormat="1" ht="15">
      <c r="A238" s="284"/>
      <c r="B238" s="84" t="s">
        <v>349</v>
      </c>
      <c r="C238" s="49">
        <v>16</v>
      </c>
      <c r="D238" s="17">
        <v>3.42</v>
      </c>
      <c r="E238" s="13">
        <v>1</v>
      </c>
      <c r="F238" s="48">
        <v>120</v>
      </c>
      <c r="G238" s="17">
        <f t="shared" si="15"/>
        <v>2.42</v>
      </c>
      <c r="H238" s="48">
        <v>0</v>
      </c>
      <c r="I238" s="17">
        <f t="shared" si="18"/>
        <v>16.8</v>
      </c>
      <c r="J238" s="17">
        <f t="shared" si="16"/>
        <v>14.38</v>
      </c>
      <c r="K238" s="285"/>
      <c r="L238" s="282"/>
    </row>
    <row r="239" spans="1:12" s="101" customFormat="1" ht="15">
      <c r="A239" s="284">
        <v>39</v>
      </c>
      <c r="B239" s="84" t="s">
        <v>197</v>
      </c>
      <c r="C239" s="49" t="s">
        <v>324</v>
      </c>
      <c r="D239" s="60">
        <f>D240+D241</f>
        <v>1.76</v>
      </c>
      <c r="E239" s="13">
        <v>6.3100000000000005</v>
      </c>
      <c r="F239" s="48">
        <v>120</v>
      </c>
      <c r="G239" s="17">
        <f t="shared" si="15"/>
        <v>-4.550000000000001</v>
      </c>
      <c r="H239" s="48">
        <v>0</v>
      </c>
      <c r="I239" s="17">
        <f>1.05*6.3</f>
        <v>6.615</v>
      </c>
      <c r="J239" s="17">
        <f t="shared" si="16"/>
        <v>11.165000000000001</v>
      </c>
      <c r="K239" s="285">
        <f>MIN(J239:J241)</f>
        <v>7.415</v>
      </c>
      <c r="L239" s="282" t="s">
        <v>362</v>
      </c>
    </row>
    <row r="240" spans="1:12" s="101" customFormat="1" ht="15">
      <c r="A240" s="284"/>
      <c r="B240" s="84" t="s">
        <v>348</v>
      </c>
      <c r="C240" s="49">
        <v>6.3</v>
      </c>
      <c r="D240" s="60">
        <v>1.25</v>
      </c>
      <c r="E240" s="13">
        <v>5</v>
      </c>
      <c r="F240" s="48">
        <v>120</v>
      </c>
      <c r="G240" s="17">
        <f t="shared" si="15"/>
        <v>-3.75</v>
      </c>
      <c r="H240" s="48">
        <v>0</v>
      </c>
      <c r="I240" s="17">
        <f>1.05*6.3</f>
        <v>6.615</v>
      </c>
      <c r="J240" s="17">
        <f t="shared" si="16"/>
        <v>10.365</v>
      </c>
      <c r="K240" s="285"/>
      <c r="L240" s="282"/>
    </row>
    <row r="241" spans="1:12" s="101" customFormat="1" ht="15">
      <c r="A241" s="284"/>
      <c r="B241" s="84" t="s">
        <v>349</v>
      </c>
      <c r="C241" s="49">
        <v>6.3</v>
      </c>
      <c r="D241" s="60">
        <v>0.51</v>
      </c>
      <c r="E241" s="13">
        <v>1.31</v>
      </c>
      <c r="F241" s="48">
        <v>120</v>
      </c>
      <c r="G241" s="17">
        <f t="shared" si="15"/>
        <v>-0.8</v>
      </c>
      <c r="H241" s="48">
        <v>0</v>
      </c>
      <c r="I241" s="17">
        <f>1.05*6.3</f>
        <v>6.615</v>
      </c>
      <c r="J241" s="17">
        <f t="shared" si="16"/>
        <v>7.415</v>
      </c>
      <c r="K241" s="285"/>
      <c r="L241" s="282"/>
    </row>
    <row r="242" spans="1:12" s="101" customFormat="1" ht="15">
      <c r="A242" s="48">
        <v>40</v>
      </c>
      <c r="B242" s="84" t="s">
        <v>198</v>
      </c>
      <c r="C242" s="49" t="s">
        <v>325</v>
      </c>
      <c r="D242" s="17">
        <v>0.88</v>
      </c>
      <c r="E242" s="13">
        <v>0.1</v>
      </c>
      <c r="F242" s="48">
        <v>120</v>
      </c>
      <c r="G242" s="17">
        <f t="shared" si="15"/>
        <v>0.78</v>
      </c>
      <c r="H242" s="48">
        <v>0</v>
      </c>
      <c r="I242" s="17">
        <f>1.05*2.5</f>
        <v>2.625</v>
      </c>
      <c r="J242" s="17">
        <f t="shared" si="16"/>
        <v>1.845</v>
      </c>
      <c r="K242" s="17">
        <f>J242</f>
        <v>1.845</v>
      </c>
      <c r="L242" s="23" t="s">
        <v>362</v>
      </c>
    </row>
    <row r="243" spans="1:12" s="101" customFormat="1" ht="15">
      <c r="A243" s="284">
        <v>41</v>
      </c>
      <c r="B243" s="84" t="s">
        <v>199</v>
      </c>
      <c r="C243" s="49" t="s">
        <v>323</v>
      </c>
      <c r="D243" s="17">
        <f>D244+D245</f>
        <v>5.83</v>
      </c>
      <c r="E243" s="13">
        <v>6.9</v>
      </c>
      <c r="F243" s="48">
        <v>120</v>
      </c>
      <c r="G243" s="17">
        <f t="shared" si="15"/>
        <v>-1.0700000000000003</v>
      </c>
      <c r="H243" s="48">
        <v>0</v>
      </c>
      <c r="I243" s="17">
        <f>1.05*16</f>
        <v>16.8</v>
      </c>
      <c r="J243" s="17">
        <f t="shared" si="16"/>
        <v>17.87</v>
      </c>
      <c r="K243" s="285">
        <f>MIN(J243:J245)</f>
        <v>17.3</v>
      </c>
      <c r="L243" s="282" t="s">
        <v>362</v>
      </c>
    </row>
    <row r="244" spans="1:12" s="101" customFormat="1" ht="15">
      <c r="A244" s="284"/>
      <c r="B244" s="84" t="s">
        <v>348</v>
      </c>
      <c r="C244" s="49">
        <v>16</v>
      </c>
      <c r="D244" s="17">
        <v>3</v>
      </c>
      <c r="E244" s="13">
        <v>3.5</v>
      </c>
      <c r="F244" s="48"/>
      <c r="G244" s="17">
        <f t="shared" si="15"/>
        <v>-0.5</v>
      </c>
      <c r="H244" s="48">
        <v>0</v>
      </c>
      <c r="I244" s="17">
        <f>1.05*16</f>
        <v>16.8</v>
      </c>
      <c r="J244" s="17">
        <f t="shared" si="16"/>
        <v>17.3</v>
      </c>
      <c r="K244" s="285"/>
      <c r="L244" s="282"/>
    </row>
    <row r="245" spans="1:12" s="101" customFormat="1" ht="15">
      <c r="A245" s="284"/>
      <c r="B245" s="84" t="s">
        <v>349</v>
      </c>
      <c r="C245" s="49">
        <v>16</v>
      </c>
      <c r="D245" s="17">
        <v>2.83</v>
      </c>
      <c r="E245" s="13">
        <v>3.4</v>
      </c>
      <c r="F245" s="48">
        <v>120</v>
      </c>
      <c r="G245" s="17">
        <f t="shared" si="15"/>
        <v>-0.5699999999999998</v>
      </c>
      <c r="H245" s="48">
        <v>0</v>
      </c>
      <c r="I245" s="17">
        <f>1.05*16</f>
        <v>16.8</v>
      </c>
      <c r="J245" s="17">
        <f t="shared" si="16"/>
        <v>17.37</v>
      </c>
      <c r="K245" s="285"/>
      <c r="L245" s="282"/>
    </row>
    <row r="246" spans="1:12" s="101" customFormat="1" ht="15">
      <c r="A246" s="284">
        <v>42</v>
      </c>
      <c r="B246" s="84" t="s">
        <v>200</v>
      </c>
      <c r="C246" s="49" t="s">
        <v>326</v>
      </c>
      <c r="D246" s="17">
        <f>D247+D248</f>
        <v>29.19</v>
      </c>
      <c r="E246" s="13">
        <v>6.5</v>
      </c>
      <c r="F246" s="48">
        <v>0</v>
      </c>
      <c r="G246" s="17">
        <f t="shared" si="15"/>
        <v>22.69</v>
      </c>
      <c r="H246" s="48">
        <v>0</v>
      </c>
      <c r="I246" s="17">
        <f>1.05*25</f>
        <v>26.25</v>
      </c>
      <c r="J246" s="17">
        <f t="shared" si="16"/>
        <v>3.5599999999999987</v>
      </c>
      <c r="K246" s="285">
        <f>MIN(J246:J248)</f>
        <v>3.5599999999999987</v>
      </c>
      <c r="L246" s="282" t="s">
        <v>362</v>
      </c>
    </row>
    <row r="247" spans="1:12" s="101" customFormat="1" ht="15">
      <c r="A247" s="284"/>
      <c r="B247" s="84" t="s">
        <v>348</v>
      </c>
      <c r="C247" s="49">
        <v>25</v>
      </c>
      <c r="D247" s="17">
        <v>0</v>
      </c>
      <c r="E247" s="13"/>
      <c r="F247" s="48"/>
      <c r="G247" s="17">
        <f t="shared" si="15"/>
        <v>0</v>
      </c>
      <c r="H247" s="48">
        <v>0</v>
      </c>
      <c r="I247" s="17">
        <f>1.05*25</f>
        <v>26.25</v>
      </c>
      <c r="J247" s="17">
        <f t="shared" si="16"/>
        <v>26.25</v>
      </c>
      <c r="K247" s="285"/>
      <c r="L247" s="282"/>
    </row>
    <row r="248" spans="1:12" s="101" customFormat="1" ht="15">
      <c r="A248" s="284"/>
      <c r="B248" s="84" t="s">
        <v>349</v>
      </c>
      <c r="C248" s="49">
        <v>25</v>
      </c>
      <c r="D248" s="17">
        <v>29.19</v>
      </c>
      <c r="E248" s="13">
        <v>6.5</v>
      </c>
      <c r="F248" s="48">
        <v>0</v>
      </c>
      <c r="G248" s="17">
        <f t="shared" si="15"/>
        <v>22.69</v>
      </c>
      <c r="H248" s="48">
        <v>0</v>
      </c>
      <c r="I248" s="17">
        <f>1.05*25</f>
        <v>26.25</v>
      </c>
      <c r="J248" s="17">
        <f t="shared" si="16"/>
        <v>3.5599999999999987</v>
      </c>
      <c r="K248" s="285"/>
      <c r="L248" s="282"/>
    </row>
    <row r="249" spans="1:12" s="101" customFormat="1" ht="15">
      <c r="A249" s="48">
        <v>43</v>
      </c>
      <c r="B249" s="84" t="s">
        <v>201</v>
      </c>
      <c r="C249" s="49" t="s">
        <v>327</v>
      </c>
      <c r="D249" s="17">
        <v>47.78</v>
      </c>
      <c r="E249" s="13">
        <v>0</v>
      </c>
      <c r="F249" s="48">
        <v>0</v>
      </c>
      <c r="G249" s="17">
        <f t="shared" si="15"/>
        <v>47.78</v>
      </c>
      <c r="H249" s="48">
        <v>0</v>
      </c>
      <c r="I249" s="17">
        <f>1.05*63</f>
        <v>66.15</v>
      </c>
      <c r="J249" s="17">
        <f t="shared" si="16"/>
        <v>18.370000000000005</v>
      </c>
      <c r="K249" s="17">
        <f>J249</f>
        <v>18.370000000000005</v>
      </c>
      <c r="L249" s="23" t="s">
        <v>362</v>
      </c>
    </row>
    <row r="250" spans="1:12" s="101" customFormat="1" ht="15">
      <c r="A250" s="48">
        <v>44</v>
      </c>
      <c r="B250" s="84" t="s">
        <v>202</v>
      </c>
      <c r="C250" s="49" t="s">
        <v>328</v>
      </c>
      <c r="D250" s="17">
        <v>6.58</v>
      </c>
      <c r="E250" s="13">
        <v>0.32</v>
      </c>
      <c r="F250" s="48">
        <v>0</v>
      </c>
      <c r="G250" s="17">
        <f t="shared" si="15"/>
        <v>6.26</v>
      </c>
      <c r="H250" s="48">
        <v>0</v>
      </c>
      <c r="I250" s="17">
        <f>1.05*6.3</f>
        <v>6.615</v>
      </c>
      <c r="J250" s="17">
        <f t="shared" si="16"/>
        <v>0.3550000000000004</v>
      </c>
      <c r="K250" s="17">
        <f>J250</f>
        <v>0.3550000000000004</v>
      </c>
      <c r="L250" s="23" t="s">
        <v>362</v>
      </c>
    </row>
    <row r="251" spans="1:12" s="101" customFormat="1" ht="15">
      <c r="A251" s="284">
        <v>45</v>
      </c>
      <c r="B251" s="84" t="s">
        <v>203</v>
      </c>
      <c r="C251" s="49" t="s">
        <v>329</v>
      </c>
      <c r="D251" s="17">
        <f>D252+D253</f>
        <v>3.2</v>
      </c>
      <c r="E251" s="13">
        <v>15.7</v>
      </c>
      <c r="F251" s="48">
        <v>120</v>
      </c>
      <c r="G251" s="17">
        <f t="shared" si="15"/>
        <v>-12.5</v>
      </c>
      <c r="H251" s="48">
        <v>0</v>
      </c>
      <c r="I251" s="17">
        <f>1.05*10</f>
        <v>10.5</v>
      </c>
      <c r="J251" s="17">
        <f t="shared" si="16"/>
        <v>23</v>
      </c>
      <c r="K251" s="285">
        <f>MIN(J251:J253)</f>
        <v>15.5</v>
      </c>
      <c r="L251" s="282" t="s">
        <v>362</v>
      </c>
    </row>
    <row r="252" spans="1:12" s="101" customFormat="1" ht="15">
      <c r="A252" s="284"/>
      <c r="B252" s="84" t="s">
        <v>348</v>
      </c>
      <c r="C252" s="49">
        <v>10</v>
      </c>
      <c r="D252" s="17">
        <v>1.8</v>
      </c>
      <c r="E252" s="13">
        <v>9.3</v>
      </c>
      <c r="F252" s="48"/>
      <c r="G252" s="17">
        <f t="shared" si="15"/>
        <v>-7.500000000000001</v>
      </c>
      <c r="H252" s="48">
        <v>0</v>
      </c>
      <c r="I252" s="17">
        <f>1.05*10</f>
        <v>10.5</v>
      </c>
      <c r="J252" s="17">
        <f t="shared" si="16"/>
        <v>18</v>
      </c>
      <c r="K252" s="285"/>
      <c r="L252" s="282"/>
    </row>
    <row r="253" spans="1:12" s="101" customFormat="1" ht="15">
      <c r="A253" s="284"/>
      <c r="B253" s="84" t="s">
        <v>349</v>
      </c>
      <c r="C253" s="49">
        <v>10</v>
      </c>
      <c r="D253" s="17">
        <v>1.4</v>
      </c>
      <c r="E253" s="13">
        <v>6.4</v>
      </c>
      <c r="F253" s="48"/>
      <c r="G253" s="17">
        <f t="shared" si="15"/>
        <v>-5</v>
      </c>
      <c r="H253" s="48">
        <v>0</v>
      </c>
      <c r="I253" s="17">
        <f>1.05*10</f>
        <v>10.5</v>
      </c>
      <c r="J253" s="17">
        <f t="shared" si="16"/>
        <v>15.5</v>
      </c>
      <c r="K253" s="285"/>
      <c r="L253" s="282"/>
    </row>
    <row r="254" spans="1:12" s="101" customFormat="1" ht="15">
      <c r="A254" s="280">
        <v>46</v>
      </c>
      <c r="B254" s="79" t="s">
        <v>27</v>
      </c>
      <c r="C254" s="49" t="s">
        <v>324</v>
      </c>
      <c r="D254" s="17">
        <f>D255+D256</f>
        <v>0.55</v>
      </c>
      <c r="E254" s="13">
        <v>5.890000000000001</v>
      </c>
      <c r="F254" s="14" t="s">
        <v>4</v>
      </c>
      <c r="G254" s="17">
        <f t="shared" si="15"/>
        <v>-5.340000000000001</v>
      </c>
      <c r="H254" s="14">
        <v>0</v>
      </c>
      <c r="I254" s="13">
        <f aca="true" t="shared" si="19" ref="I254:I259">1.05*6.3</f>
        <v>6.615</v>
      </c>
      <c r="J254" s="17">
        <f t="shared" si="16"/>
        <v>11.955000000000002</v>
      </c>
      <c r="K254" s="281">
        <f>MIN(J254:J256)</f>
        <v>8.655000000000001</v>
      </c>
      <c r="L254" s="282" t="s">
        <v>362</v>
      </c>
    </row>
    <row r="255" spans="1:12" s="101" customFormat="1" ht="15">
      <c r="A255" s="280"/>
      <c r="B255" s="79" t="s">
        <v>348</v>
      </c>
      <c r="C255" s="49">
        <v>6.3</v>
      </c>
      <c r="D255" s="17">
        <v>0.44</v>
      </c>
      <c r="E255" s="13">
        <v>3.74</v>
      </c>
      <c r="F255" s="14" t="s">
        <v>4</v>
      </c>
      <c r="G255" s="17">
        <f t="shared" si="15"/>
        <v>-3.3000000000000003</v>
      </c>
      <c r="H255" s="14">
        <v>0</v>
      </c>
      <c r="I255" s="13">
        <f t="shared" si="19"/>
        <v>6.615</v>
      </c>
      <c r="J255" s="17">
        <f t="shared" si="16"/>
        <v>9.915000000000001</v>
      </c>
      <c r="K255" s="281"/>
      <c r="L255" s="282"/>
    </row>
    <row r="256" spans="1:12" s="101" customFormat="1" ht="15">
      <c r="A256" s="280"/>
      <c r="B256" s="84" t="s">
        <v>349</v>
      </c>
      <c r="C256" s="49">
        <v>6.3</v>
      </c>
      <c r="D256" s="17">
        <v>0.11</v>
      </c>
      <c r="E256" s="13">
        <v>2.15</v>
      </c>
      <c r="F256" s="48" t="s">
        <v>4</v>
      </c>
      <c r="G256" s="17">
        <f t="shared" si="15"/>
        <v>-2.04</v>
      </c>
      <c r="H256" s="48">
        <v>0</v>
      </c>
      <c r="I256" s="13">
        <f t="shared" si="19"/>
        <v>6.615</v>
      </c>
      <c r="J256" s="17">
        <f t="shared" si="16"/>
        <v>8.655000000000001</v>
      </c>
      <c r="K256" s="281"/>
      <c r="L256" s="282"/>
    </row>
    <row r="257" spans="1:12" s="101" customFormat="1" ht="15">
      <c r="A257" s="284">
        <v>47</v>
      </c>
      <c r="B257" s="84" t="s">
        <v>204</v>
      </c>
      <c r="C257" s="49" t="s">
        <v>328</v>
      </c>
      <c r="D257" s="17">
        <f>D258+D259</f>
        <v>2.8</v>
      </c>
      <c r="E257" s="13">
        <v>21.400000000000002</v>
      </c>
      <c r="F257" s="48">
        <v>45</v>
      </c>
      <c r="G257" s="17">
        <f t="shared" si="15"/>
        <v>-18.6</v>
      </c>
      <c r="H257" s="48">
        <v>0</v>
      </c>
      <c r="I257" s="17">
        <f t="shared" si="19"/>
        <v>6.615</v>
      </c>
      <c r="J257" s="17">
        <f t="shared" si="16"/>
        <v>25.215000000000003</v>
      </c>
      <c r="K257" s="285">
        <f>MIN(J257:J259)</f>
        <v>9.195</v>
      </c>
      <c r="L257" s="282" t="s">
        <v>362</v>
      </c>
    </row>
    <row r="258" spans="1:12" s="101" customFormat="1" ht="15">
      <c r="A258" s="284"/>
      <c r="B258" s="84" t="s">
        <v>348</v>
      </c>
      <c r="C258" s="49" t="s">
        <v>328</v>
      </c>
      <c r="D258" s="17">
        <v>1.78</v>
      </c>
      <c r="E258" s="13">
        <v>17.8</v>
      </c>
      <c r="F258" s="48"/>
      <c r="G258" s="17">
        <f t="shared" si="15"/>
        <v>-16.02</v>
      </c>
      <c r="H258" s="48">
        <v>0</v>
      </c>
      <c r="I258" s="17">
        <f t="shared" si="19"/>
        <v>6.615</v>
      </c>
      <c r="J258" s="17">
        <f t="shared" si="16"/>
        <v>22.634999999999998</v>
      </c>
      <c r="K258" s="285"/>
      <c r="L258" s="282"/>
    </row>
    <row r="259" spans="1:12" s="101" customFormat="1" ht="15">
      <c r="A259" s="284"/>
      <c r="B259" s="84" t="s">
        <v>349</v>
      </c>
      <c r="C259" s="49" t="s">
        <v>328</v>
      </c>
      <c r="D259" s="17">
        <v>1.02</v>
      </c>
      <c r="E259" s="13">
        <v>3.6</v>
      </c>
      <c r="F259" s="48">
        <v>45</v>
      </c>
      <c r="G259" s="17">
        <f t="shared" si="15"/>
        <v>-2.58</v>
      </c>
      <c r="H259" s="48">
        <v>0</v>
      </c>
      <c r="I259" s="17">
        <f t="shared" si="19"/>
        <v>6.615</v>
      </c>
      <c r="J259" s="17">
        <f t="shared" si="16"/>
        <v>9.195</v>
      </c>
      <c r="K259" s="285"/>
      <c r="L259" s="282"/>
    </row>
    <row r="260" spans="1:12" s="101" customFormat="1" ht="15">
      <c r="A260" s="284">
        <v>48</v>
      </c>
      <c r="B260" s="84" t="s">
        <v>205</v>
      </c>
      <c r="C260" s="49" t="s">
        <v>330</v>
      </c>
      <c r="D260" s="60">
        <f>D261+D262</f>
        <v>19.35</v>
      </c>
      <c r="E260" s="13">
        <v>3.25</v>
      </c>
      <c r="F260" s="48">
        <v>10</v>
      </c>
      <c r="G260" s="17">
        <f t="shared" si="15"/>
        <v>16.1</v>
      </c>
      <c r="H260" s="48">
        <v>0</v>
      </c>
      <c r="I260" s="17">
        <f>1.05*31.5</f>
        <v>33.075</v>
      </c>
      <c r="J260" s="17">
        <f t="shared" si="16"/>
        <v>16.975</v>
      </c>
      <c r="K260" s="285">
        <f>MIN(J260:J262)</f>
        <v>16.975</v>
      </c>
      <c r="L260" s="282" t="s">
        <v>362</v>
      </c>
    </row>
    <row r="261" spans="1:12" s="101" customFormat="1" ht="15">
      <c r="A261" s="284"/>
      <c r="B261" s="84" t="s">
        <v>348</v>
      </c>
      <c r="C261" s="49">
        <v>31.5</v>
      </c>
      <c r="D261" s="60">
        <v>13</v>
      </c>
      <c r="E261" s="13">
        <v>1.7</v>
      </c>
      <c r="F261" s="48"/>
      <c r="G261" s="17">
        <f t="shared" si="15"/>
        <v>11.3</v>
      </c>
      <c r="H261" s="48">
        <v>0</v>
      </c>
      <c r="I261" s="17">
        <f>1.05*31.5</f>
        <v>33.075</v>
      </c>
      <c r="J261" s="17">
        <f t="shared" si="16"/>
        <v>21.775000000000002</v>
      </c>
      <c r="K261" s="285"/>
      <c r="L261" s="282"/>
    </row>
    <row r="262" spans="1:12" s="101" customFormat="1" ht="15">
      <c r="A262" s="284"/>
      <c r="B262" s="84" t="s">
        <v>349</v>
      </c>
      <c r="C262" s="49">
        <v>31.5</v>
      </c>
      <c r="D262" s="60">
        <v>6.35</v>
      </c>
      <c r="E262" s="13">
        <v>1.55</v>
      </c>
      <c r="F262" s="48">
        <v>120</v>
      </c>
      <c r="G262" s="17">
        <f t="shared" si="15"/>
        <v>4.8</v>
      </c>
      <c r="H262" s="48">
        <v>0</v>
      </c>
      <c r="I262" s="17">
        <f>1.05*31.5</f>
        <v>33.075</v>
      </c>
      <c r="J262" s="17">
        <f t="shared" si="16"/>
        <v>28.275000000000002</v>
      </c>
      <c r="K262" s="285"/>
      <c r="L262" s="282"/>
    </row>
    <row r="263" spans="1:12" s="101" customFormat="1" ht="15">
      <c r="A263" s="284">
        <v>49</v>
      </c>
      <c r="B263" s="84" t="s">
        <v>206</v>
      </c>
      <c r="C263" s="49" t="s">
        <v>322</v>
      </c>
      <c r="D263" s="17">
        <f>D264+D265</f>
        <v>15.280000000000001</v>
      </c>
      <c r="E263" s="13">
        <v>11</v>
      </c>
      <c r="F263" s="48">
        <v>120</v>
      </c>
      <c r="G263" s="17">
        <f t="shared" si="15"/>
        <v>4.280000000000001</v>
      </c>
      <c r="H263" s="48">
        <v>0</v>
      </c>
      <c r="I263" s="17">
        <f>1.05*16</f>
        <v>16.8</v>
      </c>
      <c r="J263" s="17">
        <f t="shared" si="16"/>
        <v>12.52</v>
      </c>
      <c r="K263" s="285">
        <f>MIN(J263:J265)</f>
        <v>12.52</v>
      </c>
      <c r="L263" s="282" t="s">
        <v>362</v>
      </c>
    </row>
    <row r="264" spans="1:12" s="101" customFormat="1" ht="15">
      <c r="A264" s="284"/>
      <c r="B264" s="84" t="s">
        <v>348</v>
      </c>
      <c r="C264" s="49" t="s">
        <v>322</v>
      </c>
      <c r="D264" s="17">
        <v>8.41</v>
      </c>
      <c r="E264" s="13">
        <v>7</v>
      </c>
      <c r="F264" s="48"/>
      <c r="G264" s="17">
        <f t="shared" si="15"/>
        <v>1.4100000000000001</v>
      </c>
      <c r="H264" s="48">
        <v>0</v>
      </c>
      <c r="I264" s="17">
        <f>1.05*16</f>
        <v>16.8</v>
      </c>
      <c r="J264" s="17">
        <f t="shared" si="16"/>
        <v>15.39</v>
      </c>
      <c r="K264" s="285"/>
      <c r="L264" s="282"/>
    </row>
    <row r="265" spans="1:12" s="101" customFormat="1" ht="15">
      <c r="A265" s="284"/>
      <c r="B265" s="84" t="s">
        <v>349</v>
      </c>
      <c r="C265" s="49" t="s">
        <v>322</v>
      </c>
      <c r="D265" s="17">
        <v>6.87</v>
      </c>
      <c r="E265" s="13">
        <v>4</v>
      </c>
      <c r="F265" s="48">
        <v>120</v>
      </c>
      <c r="G265" s="17">
        <f t="shared" si="15"/>
        <v>2.87</v>
      </c>
      <c r="H265" s="48">
        <v>0</v>
      </c>
      <c r="I265" s="17">
        <f>1.05*16</f>
        <v>16.8</v>
      </c>
      <c r="J265" s="17">
        <f t="shared" si="16"/>
        <v>13.93</v>
      </c>
      <c r="K265" s="285"/>
      <c r="L265" s="282"/>
    </row>
    <row r="266" spans="1:12" s="101" customFormat="1" ht="15">
      <c r="A266" s="48">
        <v>50</v>
      </c>
      <c r="B266" s="84" t="s">
        <v>207</v>
      </c>
      <c r="C266" s="49" t="s">
        <v>326</v>
      </c>
      <c r="D266" s="17">
        <v>6.38</v>
      </c>
      <c r="E266" s="13">
        <v>0</v>
      </c>
      <c r="F266" s="48">
        <v>0</v>
      </c>
      <c r="G266" s="17">
        <f t="shared" si="15"/>
        <v>6.38</v>
      </c>
      <c r="H266" s="48">
        <v>0</v>
      </c>
      <c r="I266" s="17">
        <f>1.05*25</f>
        <v>26.25</v>
      </c>
      <c r="J266" s="17">
        <f t="shared" si="16"/>
        <v>19.87</v>
      </c>
      <c r="K266" s="17">
        <f>J266</f>
        <v>19.87</v>
      </c>
      <c r="L266" s="23" t="s">
        <v>362</v>
      </c>
    </row>
    <row r="267" spans="1:12" s="101" customFormat="1" ht="15">
      <c r="A267" s="48">
        <v>51</v>
      </c>
      <c r="B267" s="84" t="s">
        <v>208</v>
      </c>
      <c r="C267" s="49" t="s">
        <v>329</v>
      </c>
      <c r="D267" s="59">
        <v>1.22</v>
      </c>
      <c r="E267" s="13">
        <v>0</v>
      </c>
      <c r="F267" s="48">
        <v>0</v>
      </c>
      <c r="G267" s="17">
        <f t="shared" si="15"/>
        <v>1.22</v>
      </c>
      <c r="H267" s="48">
        <v>0</v>
      </c>
      <c r="I267" s="17">
        <f>1.05*10</f>
        <v>10.5</v>
      </c>
      <c r="J267" s="17">
        <f t="shared" si="16"/>
        <v>9.28</v>
      </c>
      <c r="K267" s="17">
        <f>J267</f>
        <v>9.28</v>
      </c>
      <c r="L267" s="23" t="s">
        <v>362</v>
      </c>
    </row>
    <row r="268" spans="1:12" s="101" customFormat="1" ht="15">
      <c r="A268" s="48">
        <v>52</v>
      </c>
      <c r="B268" s="84" t="s">
        <v>209</v>
      </c>
      <c r="C268" s="49" t="s">
        <v>324</v>
      </c>
      <c r="D268" s="59">
        <v>2.08</v>
      </c>
      <c r="E268" s="13">
        <v>0.7</v>
      </c>
      <c r="F268" s="48">
        <v>120</v>
      </c>
      <c r="G268" s="17">
        <f t="shared" si="15"/>
        <v>1.3800000000000001</v>
      </c>
      <c r="H268" s="48">
        <v>0</v>
      </c>
      <c r="I268" s="17">
        <f>1.05*6.3</f>
        <v>6.615</v>
      </c>
      <c r="J268" s="17">
        <f t="shared" si="16"/>
        <v>5.235</v>
      </c>
      <c r="K268" s="17">
        <f>J268</f>
        <v>5.235</v>
      </c>
      <c r="L268" s="23" t="s">
        <v>362</v>
      </c>
    </row>
    <row r="269" spans="1:12" s="101" customFormat="1" ht="15">
      <c r="A269" s="284">
        <v>53</v>
      </c>
      <c r="B269" s="84" t="s">
        <v>210</v>
      </c>
      <c r="C269" s="49" t="s">
        <v>326</v>
      </c>
      <c r="D269" s="17">
        <f>D270+D271</f>
        <v>15.6</v>
      </c>
      <c r="E269" s="13">
        <v>29</v>
      </c>
      <c r="F269" s="48">
        <v>120</v>
      </c>
      <c r="G269" s="17">
        <f t="shared" si="15"/>
        <v>-13.4</v>
      </c>
      <c r="H269" s="48">
        <v>0</v>
      </c>
      <c r="I269" s="17">
        <f aca="true" t="shared" si="20" ref="I269:I274">1.05*25</f>
        <v>26.25</v>
      </c>
      <c r="J269" s="17">
        <f t="shared" si="16"/>
        <v>39.65</v>
      </c>
      <c r="K269" s="285">
        <f>MIN(J269:J271)</f>
        <v>27.950000000000003</v>
      </c>
      <c r="L269" s="282" t="s">
        <v>362</v>
      </c>
    </row>
    <row r="270" spans="1:12" s="101" customFormat="1" ht="15">
      <c r="A270" s="284"/>
      <c r="B270" s="84" t="s">
        <v>348</v>
      </c>
      <c r="C270" s="49">
        <v>25</v>
      </c>
      <c r="D270" s="17">
        <v>5.4</v>
      </c>
      <c r="E270" s="13">
        <v>17.1</v>
      </c>
      <c r="F270" s="48"/>
      <c r="G270" s="17">
        <f t="shared" si="15"/>
        <v>-11.700000000000001</v>
      </c>
      <c r="H270" s="48">
        <v>0</v>
      </c>
      <c r="I270" s="17">
        <f t="shared" si="20"/>
        <v>26.25</v>
      </c>
      <c r="J270" s="17">
        <f t="shared" si="16"/>
        <v>37.95</v>
      </c>
      <c r="K270" s="285"/>
      <c r="L270" s="282"/>
    </row>
    <row r="271" spans="1:12" s="101" customFormat="1" ht="15">
      <c r="A271" s="284"/>
      <c r="B271" s="84" t="s">
        <v>349</v>
      </c>
      <c r="C271" s="49">
        <v>25</v>
      </c>
      <c r="D271" s="17">
        <v>10.2</v>
      </c>
      <c r="E271" s="13">
        <v>11.9</v>
      </c>
      <c r="F271" s="48"/>
      <c r="G271" s="17">
        <f t="shared" si="15"/>
        <v>-1.700000000000001</v>
      </c>
      <c r="H271" s="48">
        <v>0</v>
      </c>
      <c r="I271" s="17">
        <f t="shared" si="20"/>
        <v>26.25</v>
      </c>
      <c r="J271" s="17">
        <f t="shared" si="16"/>
        <v>27.950000000000003</v>
      </c>
      <c r="K271" s="285"/>
      <c r="L271" s="282"/>
    </row>
    <row r="272" spans="1:12" s="101" customFormat="1" ht="15">
      <c r="A272" s="284">
        <v>54</v>
      </c>
      <c r="B272" s="84" t="s">
        <v>211</v>
      </c>
      <c r="C272" s="49" t="s">
        <v>326</v>
      </c>
      <c r="D272" s="17">
        <f>D273+D274</f>
        <v>13.6</v>
      </c>
      <c r="E272" s="13">
        <v>0</v>
      </c>
      <c r="F272" s="48">
        <v>0</v>
      </c>
      <c r="G272" s="17">
        <f t="shared" si="15"/>
        <v>13.6</v>
      </c>
      <c r="H272" s="48">
        <v>0</v>
      </c>
      <c r="I272" s="17">
        <f t="shared" si="20"/>
        <v>26.25</v>
      </c>
      <c r="J272" s="17">
        <f t="shared" si="16"/>
        <v>12.65</v>
      </c>
      <c r="K272" s="285">
        <f>MIN(J272:J274)</f>
        <v>12.65</v>
      </c>
      <c r="L272" s="282" t="s">
        <v>362</v>
      </c>
    </row>
    <row r="273" spans="1:12" s="101" customFormat="1" ht="15">
      <c r="A273" s="284"/>
      <c r="B273" s="84" t="s">
        <v>348</v>
      </c>
      <c r="C273" s="49">
        <v>25</v>
      </c>
      <c r="D273" s="17">
        <v>3.67</v>
      </c>
      <c r="E273" s="13"/>
      <c r="F273" s="48"/>
      <c r="G273" s="17">
        <f t="shared" si="15"/>
        <v>3.67</v>
      </c>
      <c r="H273" s="48">
        <v>0</v>
      </c>
      <c r="I273" s="17">
        <f t="shared" si="20"/>
        <v>26.25</v>
      </c>
      <c r="J273" s="17">
        <f t="shared" si="16"/>
        <v>22.58</v>
      </c>
      <c r="K273" s="285"/>
      <c r="L273" s="282"/>
    </row>
    <row r="274" spans="1:12" s="101" customFormat="1" ht="15">
      <c r="A274" s="284"/>
      <c r="B274" s="84" t="s">
        <v>349</v>
      </c>
      <c r="C274" s="49">
        <v>25</v>
      </c>
      <c r="D274" s="17">
        <v>9.93</v>
      </c>
      <c r="E274" s="13">
        <v>0</v>
      </c>
      <c r="F274" s="48">
        <v>0</v>
      </c>
      <c r="G274" s="17">
        <f t="shared" si="15"/>
        <v>9.93</v>
      </c>
      <c r="H274" s="48">
        <v>0</v>
      </c>
      <c r="I274" s="17">
        <f t="shared" si="20"/>
        <v>26.25</v>
      </c>
      <c r="J274" s="17">
        <f t="shared" si="16"/>
        <v>16.32</v>
      </c>
      <c r="K274" s="285"/>
      <c r="L274" s="282"/>
    </row>
    <row r="275" spans="1:12" s="101" customFormat="1" ht="15">
      <c r="A275" s="284">
        <v>55</v>
      </c>
      <c r="B275" s="84" t="s">
        <v>212</v>
      </c>
      <c r="C275" s="49" t="s">
        <v>329</v>
      </c>
      <c r="D275" s="17">
        <f>D276+D277</f>
        <v>3.87</v>
      </c>
      <c r="E275" s="13">
        <v>3.44</v>
      </c>
      <c r="F275" s="48">
        <v>120</v>
      </c>
      <c r="G275" s="17">
        <f t="shared" si="15"/>
        <v>0.43000000000000016</v>
      </c>
      <c r="H275" s="48">
        <v>0</v>
      </c>
      <c r="I275" s="17">
        <f>1.05*10</f>
        <v>10.5</v>
      </c>
      <c r="J275" s="17">
        <f t="shared" si="16"/>
        <v>10.07</v>
      </c>
      <c r="K275" s="285">
        <f>MIN(J275:J277)</f>
        <v>8.57</v>
      </c>
      <c r="L275" s="282" t="s">
        <v>362</v>
      </c>
    </row>
    <row r="276" spans="1:12" s="101" customFormat="1" ht="15">
      <c r="A276" s="284"/>
      <c r="B276" s="84" t="s">
        <v>348</v>
      </c>
      <c r="C276" s="49">
        <v>10</v>
      </c>
      <c r="D276" s="17">
        <v>0.5</v>
      </c>
      <c r="E276" s="13">
        <v>2</v>
      </c>
      <c r="F276" s="48"/>
      <c r="G276" s="17">
        <f t="shared" si="15"/>
        <v>-1.5</v>
      </c>
      <c r="H276" s="48">
        <v>0</v>
      </c>
      <c r="I276" s="17">
        <f>1.05*10</f>
        <v>10.5</v>
      </c>
      <c r="J276" s="17">
        <f t="shared" si="16"/>
        <v>12</v>
      </c>
      <c r="K276" s="285"/>
      <c r="L276" s="282"/>
    </row>
    <row r="277" spans="1:12" s="101" customFormat="1" ht="15">
      <c r="A277" s="284"/>
      <c r="B277" s="84" t="s">
        <v>349</v>
      </c>
      <c r="C277" s="49">
        <v>10</v>
      </c>
      <c r="D277" s="17">
        <v>3.37</v>
      </c>
      <c r="E277" s="13">
        <v>1.44</v>
      </c>
      <c r="F277" s="48"/>
      <c r="G277" s="17">
        <f t="shared" si="15"/>
        <v>1.9300000000000002</v>
      </c>
      <c r="H277" s="48">
        <v>0</v>
      </c>
      <c r="I277" s="17">
        <f>1.05*10</f>
        <v>10.5</v>
      </c>
      <c r="J277" s="17">
        <f t="shared" si="16"/>
        <v>8.57</v>
      </c>
      <c r="K277" s="285"/>
      <c r="L277" s="282"/>
    </row>
    <row r="278" spans="1:12" s="101" customFormat="1" ht="15">
      <c r="A278" s="284">
        <v>56</v>
      </c>
      <c r="B278" s="84" t="s">
        <v>213</v>
      </c>
      <c r="C278" s="49" t="s">
        <v>331</v>
      </c>
      <c r="D278" s="17">
        <f>D279+D280</f>
        <v>4.72</v>
      </c>
      <c r="E278" s="13">
        <v>9.59</v>
      </c>
      <c r="F278" s="48">
        <v>120</v>
      </c>
      <c r="G278" s="17">
        <f t="shared" si="15"/>
        <v>-4.87</v>
      </c>
      <c r="H278" s="48">
        <v>0</v>
      </c>
      <c r="I278" s="17">
        <f>1.05*6.3</f>
        <v>6.615</v>
      </c>
      <c r="J278" s="17">
        <f t="shared" si="16"/>
        <v>11.485</v>
      </c>
      <c r="K278" s="285">
        <f>MIN(J278:J280)</f>
        <v>6.525</v>
      </c>
      <c r="L278" s="282" t="s">
        <v>362</v>
      </c>
    </row>
    <row r="279" spans="1:12" s="101" customFormat="1" ht="15">
      <c r="A279" s="284"/>
      <c r="B279" s="84" t="s">
        <v>348</v>
      </c>
      <c r="C279" s="49" t="s">
        <v>331</v>
      </c>
      <c r="D279" s="17">
        <v>4.13</v>
      </c>
      <c r="E279" s="13">
        <v>9.09</v>
      </c>
      <c r="F279" s="48"/>
      <c r="G279" s="17">
        <f t="shared" si="15"/>
        <v>-4.96</v>
      </c>
      <c r="H279" s="48">
        <v>0</v>
      </c>
      <c r="I279" s="17">
        <f>1.05*6.3</f>
        <v>6.615</v>
      </c>
      <c r="J279" s="17">
        <f t="shared" si="16"/>
        <v>11.575</v>
      </c>
      <c r="K279" s="285"/>
      <c r="L279" s="282"/>
    </row>
    <row r="280" spans="1:12" s="101" customFormat="1" ht="15">
      <c r="A280" s="284"/>
      <c r="B280" s="84" t="s">
        <v>349</v>
      </c>
      <c r="C280" s="49" t="s">
        <v>331</v>
      </c>
      <c r="D280" s="17">
        <v>0.59</v>
      </c>
      <c r="E280" s="13">
        <v>0.5</v>
      </c>
      <c r="F280" s="48">
        <v>120</v>
      </c>
      <c r="G280" s="17">
        <f t="shared" si="15"/>
        <v>0.08999999999999997</v>
      </c>
      <c r="H280" s="48">
        <v>0</v>
      </c>
      <c r="I280" s="17">
        <f>1.05*6.3</f>
        <v>6.615</v>
      </c>
      <c r="J280" s="17">
        <f t="shared" si="16"/>
        <v>6.525</v>
      </c>
      <c r="K280" s="285"/>
      <c r="L280" s="282"/>
    </row>
    <row r="281" spans="1:12" s="101" customFormat="1" ht="15">
      <c r="A281" s="284">
        <v>57</v>
      </c>
      <c r="B281" s="84" t="s">
        <v>214</v>
      </c>
      <c r="C281" s="49" t="s">
        <v>332</v>
      </c>
      <c r="D281" s="60">
        <f>D282+D283</f>
        <v>0.63</v>
      </c>
      <c r="E281" s="13">
        <v>0.5</v>
      </c>
      <c r="F281" s="48">
        <v>120</v>
      </c>
      <c r="G281" s="17">
        <f t="shared" si="15"/>
        <v>0.13</v>
      </c>
      <c r="H281" s="48">
        <v>0</v>
      </c>
      <c r="I281" s="17">
        <f>1.05*10</f>
        <v>10.5</v>
      </c>
      <c r="J281" s="17">
        <f t="shared" si="16"/>
        <v>10.37</v>
      </c>
      <c r="K281" s="285">
        <f>MIN(J281:J283)</f>
        <v>10.04</v>
      </c>
      <c r="L281" s="282" t="s">
        <v>362</v>
      </c>
    </row>
    <row r="282" spans="1:12" s="101" customFormat="1" ht="15">
      <c r="A282" s="284"/>
      <c r="B282" s="84" t="s">
        <v>348</v>
      </c>
      <c r="C282" s="49" t="s">
        <v>332</v>
      </c>
      <c r="D282" s="60">
        <v>0.46</v>
      </c>
      <c r="E282" s="13"/>
      <c r="F282" s="48"/>
      <c r="G282" s="17">
        <f t="shared" si="15"/>
        <v>0.46</v>
      </c>
      <c r="H282" s="48">
        <v>0</v>
      </c>
      <c r="I282" s="17">
        <f>1.05*10</f>
        <v>10.5</v>
      </c>
      <c r="J282" s="17">
        <f t="shared" si="16"/>
        <v>10.04</v>
      </c>
      <c r="K282" s="285"/>
      <c r="L282" s="282"/>
    </row>
    <row r="283" spans="1:12" s="101" customFormat="1" ht="15">
      <c r="A283" s="284"/>
      <c r="B283" s="84" t="s">
        <v>349</v>
      </c>
      <c r="C283" s="49" t="s">
        <v>332</v>
      </c>
      <c r="D283" s="60">
        <v>0.17</v>
      </c>
      <c r="E283" s="13">
        <v>0.5</v>
      </c>
      <c r="F283" s="48">
        <v>120</v>
      </c>
      <c r="G283" s="17">
        <f aca="true" t="shared" si="21" ref="G283:G345">D283-E283</f>
        <v>-0.32999999999999996</v>
      </c>
      <c r="H283" s="48">
        <v>0</v>
      </c>
      <c r="I283" s="17">
        <f>1.05*10</f>
        <v>10.5</v>
      </c>
      <c r="J283" s="17">
        <f t="shared" si="16"/>
        <v>10.83</v>
      </c>
      <c r="K283" s="285"/>
      <c r="L283" s="282"/>
    </row>
    <row r="284" spans="1:12" s="101" customFormat="1" ht="15">
      <c r="A284" s="284">
        <v>58</v>
      </c>
      <c r="B284" s="84" t="s">
        <v>215</v>
      </c>
      <c r="C284" s="49" t="s">
        <v>323</v>
      </c>
      <c r="D284" s="60">
        <f>D285+D286</f>
        <v>6.290000000000001</v>
      </c>
      <c r="E284" s="13">
        <v>17.4</v>
      </c>
      <c r="F284" s="48">
        <v>120</v>
      </c>
      <c r="G284" s="17">
        <f t="shared" si="21"/>
        <v>-11.109999999999998</v>
      </c>
      <c r="H284" s="48">
        <v>0</v>
      </c>
      <c r="I284" s="17">
        <f>1.05*16</f>
        <v>16.8</v>
      </c>
      <c r="J284" s="17">
        <f aca="true" t="shared" si="22" ref="J284:J346">I284-H284-G284</f>
        <v>27.909999999999997</v>
      </c>
      <c r="K284" s="285">
        <f>MIN(J284:J286)</f>
        <v>16.96</v>
      </c>
      <c r="L284" s="282" t="s">
        <v>362</v>
      </c>
    </row>
    <row r="285" spans="1:12" s="101" customFormat="1" ht="15">
      <c r="A285" s="284"/>
      <c r="B285" s="84" t="s">
        <v>348</v>
      </c>
      <c r="C285" s="49">
        <v>16</v>
      </c>
      <c r="D285" s="60">
        <v>1.85</v>
      </c>
      <c r="E285" s="13">
        <v>12.8</v>
      </c>
      <c r="F285" s="48"/>
      <c r="G285" s="17">
        <f t="shared" si="21"/>
        <v>-10.950000000000001</v>
      </c>
      <c r="H285" s="48">
        <v>0</v>
      </c>
      <c r="I285" s="17">
        <f>1.05*16</f>
        <v>16.8</v>
      </c>
      <c r="J285" s="17">
        <f t="shared" si="22"/>
        <v>27.75</v>
      </c>
      <c r="K285" s="285"/>
      <c r="L285" s="282"/>
    </row>
    <row r="286" spans="1:12" s="101" customFormat="1" ht="15">
      <c r="A286" s="284"/>
      <c r="B286" s="84" t="s">
        <v>349</v>
      </c>
      <c r="C286" s="49">
        <v>16</v>
      </c>
      <c r="D286" s="60">
        <v>4.44</v>
      </c>
      <c r="E286" s="13">
        <v>4.6</v>
      </c>
      <c r="F286" s="48">
        <v>120</v>
      </c>
      <c r="G286" s="17">
        <f t="shared" si="21"/>
        <v>-0.15999999999999925</v>
      </c>
      <c r="H286" s="48">
        <v>0</v>
      </c>
      <c r="I286" s="17">
        <f>1.05*16</f>
        <v>16.8</v>
      </c>
      <c r="J286" s="17">
        <f t="shared" si="22"/>
        <v>16.96</v>
      </c>
      <c r="K286" s="285"/>
      <c r="L286" s="282"/>
    </row>
    <row r="287" spans="1:12" s="101" customFormat="1" ht="15">
      <c r="A287" s="284">
        <v>59</v>
      </c>
      <c r="B287" s="84" t="s">
        <v>216</v>
      </c>
      <c r="C287" s="49" t="s">
        <v>326</v>
      </c>
      <c r="D287" s="17">
        <f>D288+D289</f>
        <v>4.33</v>
      </c>
      <c r="E287" s="13">
        <v>12.34</v>
      </c>
      <c r="F287" s="48">
        <v>120</v>
      </c>
      <c r="G287" s="17">
        <f t="shared" si="21"/>
        <v>-8.01</v>
      </c>
      <c r="H287" s="48">
        <v>0</v>
      </c>
      <c r="I287" s="17">
        <f>1.05*25</f>
        <v>26.25</v>
      </c>
      <c r="J287" s="17">
        <f t="shared" si="22"/>
        <v>34.26</v>
      </c>
      <c r="K287" s="285">
        <f>MIN(J287:J289)</f>
        <v>25.08</v>
      </c>
      <c r="L287" s="282" t="s">
        <v>362</v>
      </c>
    </row>
    <row r="288" spans="1:12" s="101" customFormat="1" ht="15">
      <c r="A288" s="284"/>
      <c r="B288" s="84" t="s">
        <v>348</v>
      </c>
      <c r="C288" s="49">
        <v>25</v>
      </c>
      <c r="D288" s="17">
        <v>2.94</v>
      </c>
      <c r="E288" s="13">
        <v>12.12</v>
      </c>
      <c r="F288" s="48"/>
      <c r="G288" s="17">
        <f t="shared" si="21"/>
        <v>-9.18</v>
      </c>
      <c r="H288" s="48">
        <v>0</v>
      </c>
      <c r="I288" s="17">
        <f>1.05*25</f>
        <v>26.25</v>
      </c>
      <c r="J288" s="17">
        <f t="shared" si="22"/>
        <v>35.43</v>
      </c>
      <c r="K288" s="285"/>
      <c r="L288" s="282"/>
    </row>
    <row r="289" spans="1:12" s="101" customFormat="1" ht="15">
      <c r="A289" s="284"/>
      <c r="B289" s="84" t="s">
        <v>349</v>
      </c>
      <c r="C289" s="49">
        <v>25</v>
      </c>
      <c r="D289" s="17">
        <v>1.39</v>
      </c>
      <c r="E289" s="13">
        <v>0.22</v>
      </c>
      <c r="F289" s="48">
        <v>10</v>
      </c>
      <c r="G289" s="17">
        <f t="shared" si="21"/>
        <v>1.17</v>
      </c>
      <c r="H289" s="48">
        <v>0</v>
      </c>
      <c r="I289" s="17">
        <f>1.05*25</f>
        <v>26.25</v>
      </c>
      <c r="J289" s="17">
        <f t="shared" si="22"/>
        <v>25.08</v>
      </c>
      <c r="K289" s="285"/>
      <c r="L289" s="282"/>
    </row>
    <row r="290" spans="1:12" s="101" customFormat="1" ht="15">
      <c r="A290" s="284">
        <v>60</v>
      </c>
      <c r="B290" s="84" t="s">
        <v>217</v>
      </c>
      <c r="C290" s="49" t="s">
        <v>333</v>
      </c>
      <c r="D290" s="60">
        <f>D291+D292</f>
        <v>3.15</v>
      </c>
      <c r="E290" s="13">
        <v>6.3</v>
      </c>
      <c r="F290" s="48">
        <v>80</v>
      </c>
      <c r="G290" s="17">
        <f t="shared" si="21"/>
        <v>-3.15</v>
      </c>
      <c r="H290" s="48">
        <v>0</v>
      </c>
      <c r="I290" s="17">
        <f>1.05*7.5</f>
        <v>7.875</v>
      </c>
      <c r="J290" s="17">
        <f t="shared" si="22"/>
        <v>11.025</v>
      </c>
      <c r="K290" s="285">
        <f>MIN(J290:J292)</f>
        <v>7.984999999999999</v>
      </c>
      <c r="L290" s="282" t="s">
        <v>362</v>
      </c>
    </row>
    <row r="291" spans="1:12" s="101" customFormat="1" ht="15">
      <c r="A291" s="284"/>
      <c r="B291" s="84" t="s">
        <v>348</v>
      </c>
      <c r="C291" s="49" t="s">
        <v>333</v>
      </c>
      <c r="D291" s="60">
        <v>0.86</v>
      </c>
      <c r="E291" s="13">
        <v>3.9</v>
      </c>
      <c r="F291" s="48"/>
      <c r="G291" s="17">
        <f t="shared" si="21"/>
        <v>-3.04</v>
      </c>
      <c r="H291" s="48">
        <v>0</v>
      </c>
      <c r="I291" s="17">
        <f>1.05*7.5</f>
        <v>7.875</v>
      </c>
      <c r="J291" s="17">
        <f t="shared" si="22"/>
        <v>10.915</v>
      </c>
      <c r="K291" s="285"/>
      <c r="L291" s="282"/>
    </row>
    <row r="292" spans="1:12" s="101" customFormat="1" ht="15">
      <c r="A292" s="284"/>
      <c r="B292" s="84" t="s">
        <v>349</v>
      </c>
      <c r="C292" s="49" t="s">
        <v>333</v>
      </c>
      <c r="D292" s="60">
        <v>2.29</v>
      </c>
      <c r="E292" s="13">
        <v>2.4</v>
      </c>
      <c r="F292" s="48">
        <v>80</v>
      </c>
      <c r="G292" s="17">
        <f t="shared" si="21"/>
        <v>-0.10999999999999988</v>
      </c>
      <c r="H292" s="48">
        <v>0</v>
      </c>
      <c r="I292" s="17">
        <f>1.05*7.5</f>
        <v>7.875</v>
      </c>
      <c r="J292" s="17">
        <f t="shared" si="22"/>
        <v>7.984999999999999</v>
      </c>
      <c r="K292" s="285"/>
      <c r="L292" s="282"/>
    </row>
    <row r="293" spans="1:12" s="101" customFormat="1" ht="15">
      <c r="A293" s="284">
        <v>61</v>
      </c>
      <c r="B293" s="84" t="s">
        <v>218</v>
      </c>
      <c r="C293" s="49" t="s">
        <v>323</v>
      </c>
      <c r="D293" s="17">
        <f>D294+D295</f>
        <v>3.24</v>
      </c>
      <c r="E293" s="13">
        <v>9.379999999999999</v>
      </c>
      <c r="F293" s="48">
        <v>10</v>
      </c>
      <c r="G293" s="17">
        <f t="shared" si="21"/>
        <v>-6.139999999999999</v>
      </c>
      <c r="H293" s="48">
        <v>0</v>
      </c>
      <c r="I293" s="17">
        <f>1.05*16</f>
        <v>16.8</v>
      </c>
      <c r="J293" s="17">
        <f t="shared" si="22"/>
        <v>22.939999999999998</v>
      </c>
      <c r="K293" s="285">
        <f>MIN(J293:J295)</f>
        <v>16.01</v>
      </c>
      <c r="L293" s="282" t="s">
        <v>362</v>
      </c>
    </row>
    <row r="294" spans="1:12" s="101" customFormat="1" ht="15">
      <c r="A294" s="284"/>
      <c r="B294" s="84" t="s">
        <v>348</v>
      </c>
      <c r="C294" s="49">
        <v>16</v>
      </c>
      <c r="D294" s="17">
        <v>2.16</v>
      </c>
      <c r="E294" s="13">
        <v>9.09</v>
      </c>
      <c r="F294" s="48"/>
      <c r="G294" s="17">
        <f t="shared" si="21"/>
        <v>-6.93</v>
      </c>
      <c r="H294" s="48">
        <v>0</v>
      </c>
      <c r="I294" s="17">
        <f>1.05*16</f>
        <v>16.8</v>
      </c>
      <c r="J294" s="17">
        <f t="shared" si="22"/>
        <v>23.73</v>
      </c>
      <c r="K294" s="285"/>
      <c r="L294" s="282"/>
    </row>
    <row r="295" spans="1:12" s="101" customFormat="1" ht="15">
      <c r="A295" s="284"/>
      <c r="B295" s="84" t="s">
        <v>349</v>
      </c>
      <c r="C295" s="49">
        <v>16</v>
      </c>
      <c r="D295" s="17">
        <v>1.08</v>
      </c>
      <c r="E295" s="13">
        <v>0.29</v>
      </c>
      <c r="F295" s="48">
        <v>120</v>
      </c>
      <c r="G295" s="17">
        <f t="shared" si="21"/>
        <v>0.79</v>
      </c>
      <c r="H295" s="48">
        <v>0</v>
      </c>
      <c r="I295" s="17">
        <f>1.05*16</f>
        <v>16.8</v>
      </c>
      <c r="J295" s="17">
        <f t="shared" si="22"/>
        <v>16.01</v>
      </c>
      <c r="K295" s="285"/>
      <c r="L295" s="282"/>
    </row>
    <row r="296" spans="1:12" s="101" customFormat="1" ht="15">
      <c r="A296" s="284">
        <v>62</v>
      </c>
      <c r="B296" s="84" t="s">
        <v>219</v>
      </c>
      <c r="C296" s="49" t="s">
        <v>324</v>
      </c>
      <c r="D296" s="17">
        <f>D297+D298</f>
        <v>2.7</v>
      </c>
      <c r="E296" s="13">
        <v>8.25</v>
      </c>
      <c r="F296" s="48">
        <v>120</v>
      </c>
      <c r="G296" s="17">
        <f t="shared" si="21"/>
        <v>-5.55</v>
      </c>
      <c r="H296" s="48">
        <v>0</v>
      </c>
      <c r="I296" s="17">
        <f>1.05*6.3</f>
        <v>6.615</v>
      </c>
      <c r="J296" s="17">
        <f t="shared" si="22"/>
        <v>12.165</v>
      </c>
      <c r="K296" s="285">
        <f>MIN(J296:J298)</f>
        <v>7.025</v>
      </c>
      <c r="L296" s="282" t="s">
        <v>362</v>
      </c>
    </row>
    <row r="297" spans="1:12" s="101" customFormat="1" ht="15">
      <c r="A297" s="284"/>
      <c r="B297" s="84" t="s">
        <v>348</v>
      </c>
      <c r="C297" s="49">
        <v>6.3</v>
      </c>
      <c r="D297" s="17">
        <v>1.86</v>
      </c>
      <c r="E297" s="13">
        <v>7</v>
      </c>
      <c r="F297" s="48"/>
      <c r="G297" s="17">
        <f t="shared" si="21"/>
        <v>-5.14</v>
      </c>
      <c r="H297" s="48">
        <v>0</v>
      </c>
      <c r="I297" s="17">
        <f>1.05*6.3</f>
        <v>6.615</v>
      </c>
      <c r="J297" s="17">
        <f t="shared" si="22"/>
        <v>11.754999999999999</v>
      </c>
      <c r="K297" s="285"/>
      <c r="L297" s="282"/>
    </row>
    <row r="298" spans="1:12" s="101" customFormat="1" ht="15">
      <c r="A298" s="284"/>
      <c r="B298" s="84" t="s">
        <v>349</v>
      </c>
      <c r="C298" s="49">
        <v>6.3</v>
      </c>
      <c r="D298" s="17">
        <v>0.84</v>
      </c>
      <c r="E298" s="13">
        <v>1.25</v>
      </c>
      <c r="F298" s="48">
        <v>129</v>
      </c>
      <c r="G298" s="17">
        <f t="shared" si="21"/>
        <v>-0.41000000000000003</v>
      </c>
      <c r="H298" s="48">
        <v>0</v>
      </c>
      <c r="I298" s="17">
        <f>1.05*6.3</f>
        <v>6.615</v>
      </c>
      <c r="J298" s="17">
        <f t="shared" si="22"/>
        <v>7.025</v>
      </c>
      <c r="K298" s="285"/>
      <c r="L298" s="282"/>
    </row>
    <row r="299" spans="1:12" s="101" customFormat="1" ht="15">
      <c r="A299" s="284">
        <v>63</v>
      </c>
      <c r="B299" s="84" t="s">
        <v>220</v>
      </c>
      <c r="C299" s="49" t="s">
        <v>329</v>
      </c>
      <c r="D299" s="17">
        <f>D300+D301</f>
        <v>4.6</v>
      </c>
      <c r="E299" s="13">
        <v>13.73</v>
      </c>
      <c r="F299" s="48">
        <v>120</v>
      </c>
      <c r="G299" s="17">
        <f t="shared" si="21"/>
        <v>-9.13</v>
      </c>
      <c r="H299" s="48">
        <v>0</v>
      </c>
      <c r="I299" s="17">
        <f>1.05*10</f>
        <v>10.5</v>
      </c>
      <c r="J299" s="17">
        <f t="shared" si="22"/>
        <v>19.630000000000003</v>
      </c>
      <c r="K299" s="285">
        <f>MIN(J299:J301)</f>
        <v>11.83</v>
      </c>
      <c r="L299" s="282" t="s">
        <v>362</v>
      </c>
    </row>
    <row r="300" spans="1:12" s="101" customFormat="1" ht="15">
      <c r="A300" s="284"/>
      <c r="B300" s="84" t="s">
        <v>348</v>
      </c>
      <c r="C300" s="49">
        <v>10</v>
      </c>
      <c r="D300" s="17">
        <v>3.4</v>
      </c>
      <c r="E300" s="13">
        <v>11.2</v>
      </c>
      <c r="F300" s="48"/>
      <c r="G300" s="17">
        <f t="shared" si="21"/>
        <v>-7.799999999999999</v>
      </c>
      <c r="H300" s="48">
        <v>0</v>
      </c>
      <c r="I300" s="17">
        <f>1.05*10</f>
        <v>10.5</v>
      </c>
      <c r="J300" s="17">
        <f t="shared" si="22"/>
        <v>18.299999999999997</v>
      </c>
      <c r="K300" s="285"/>
      <c r="L300" s="282"/>
    </row>
    <row r="301" spans="1:12" s="101" customFormat="1" ht="15">
      <c r="A301" s="284"/>
      <c r="B301" s="84" t="s">
        <v>349</v>
      </c>
      <c r="C301" s="49">
        <v>10</v>
      </c>
      <c r="D301" s="17">
        <v>1.2</v>
      </c>
      <c r="E301" s="13">
        <v>2.53</v>
      </c>
      <c r="F301" s="48">
        <v>120</v>
      </c>
      <c r="G301" s="17">
        <f t="shared" si="21"/>
        <v>-1.3299999999999998</v>
      </c>
      <c r="H301" s="48">
        <v>0</v>
      </c>
      <c r="I301" s="17">
        <f>1.05*10</f>
        <v>10.5</v>
      </c>
      <c r="J301" s="17">
        <f t="shared" si="22"/>
        <v>11.83</v>
      </c>
      <c r="K301" s="285"/>
      <c r="L301" s="282"/>
    </row>
    <row r="302" spans="1:12" s="101" customFormat="1" ht="15">
      <c r="A302" s="284">
        <v>64</v>
      </c>
      <c r="B302" s="84" t="s">
        <v>221</v>
      </c>
      <c r="C302" s="49" t="s">
        <v>326</v>
      </c>
      <c r="D302" s="17">
        <f>D303+D304</f>
        <v>10.49</v>
      </c>
      <c r="E302" s="13">
        <v>12.899999999999999</v>
      </c>
      <c r="F302" s="48">
        <v>120</v>
      </c>
      <c r="G302" s="17">
        <f t="shared" si="21"/>
        <v>-2.4099999999999984</v>
      </c>
      <c r="H302" s="48">
        <v>0</v>
      </c>
      <c r="I302" s="17">
        <f>1.05*25</f>
        <v>26.25</v>
      </c>
      <c r="J302" s="17">
        <f t="shared" si="22"/>
        <v>28.659999999999997</v>
      </c>
      <c r="K302" s="285">
        <f>MIN(J302:J304)</f>
        <v>21.53</v>
      </c>
      <c r="L302" s="282" t="s">
        <v>362</v>
      </c>
    </row>
    <row r="303" spans="1:12" s="101" customFormat="1" ht="15">
      <c r="A303" s="284"/>
      <c r="B303" s="84" t="s">
        <v>348</v>
      </c>
      <c r="C303" s="49">
        <v>25</v>
      </c>
      <c r="D303" s="17">
        <v>4.99</v>
      </c>
      <c r="E303" s="13">
        <v>12.12</v>
      </c>
      <c r="F303" s="48"/>
      <c r="G303" s="17">
        <f t="shared" si="21"/>
        <v>-7.129999999999999</v>
      </c>
      <c r="H303" s="48">
        <v>0</v>
      </c>
      <c r="I303" s="17">
        <f>1.05*25</f>
        <v>26.25</v>
      </c>
      <c r="J303" s="17">
        <f t="shared" si="22"/>
        <v>33.379999999999995</v>
      </c>
      <c r="K303" s="285"/>
      <c r="L303" s="282"/>
    </row>
    <row r="304" spans="1:12" s="101" customFormat="1" ht="15">
      <c r="A304" s="284"/>
      <c r="B304" s="84" t="s">
        <v>349</v>
      </c>
      <c r="C304" s="49">
        <v>25</v>
      </c>
      <c r="D304" s="17">
        <v>5.5</v>
      </c>
      <c r="E304" s="13">
        <v>0.78</v>
      </c>
      <c r="F304" s="48">
        <v>120</v>
      </c>
      <c r="G304" s="17">
        <f t="shared" si="21"/>
        <v>4.72</v>
      </c>
      <c r="H304" s="48">
        <v>0</v>
      </c>
      <c r="I304" s="17">
        <f>1.05*25</f>
        <v>26.25</v>
      </c>
      <c r="J304" s="17">
        <f t="shared" si="22"/>
        <v>21.53</v>
      </c>
      <c r="K304" s="285"/>
      <c r="L304" s="282"/>
    </row>
    <row r="305" spans="1:12" s="101" customFormat="1" ht="15">
      <c r="A305" s="284">
        <v>65</v>
      </c>
      <c r="B305" s="84" t="s">
        <v>222</v>
      </c>
      <c r="C305" s="49" t="s">
        <v>333</v>
      </c>
      <c r="D305" s="17">
        <f>D306+D307</f>
        <v>2.56</v>
      </c>
      <c r="E305" s="13">
        <v>6.31</v>
      </c>
      <c r="F305" s="48">
        <v>10</v>
      </c>
      <c r="G305" s="17">
        <f t="shared" si="21"/>
        <v>-3.7499999999999996</v>
      </c>
      <c r="H305" s="48">
        <v>0</v>
      </c>
      <c r="I305" s="17">
        <f>1.05*7.5</f>
        <v>7.875</v>
      </c>
      <c r="J305" s="17">
        <f t="shared" si="22"/>
        <v>11.625</v>
      </c>
      <c r="K305" s="285">
        <f>MIN(J305:J307)</f>
        <v>6.83</v>
      </c>
      <c r="L305" s="282" t="s">
        <v>362</v>
      </c>
    </row>
    <row r="306" spans="1:12" s="101" customFormat="1" ht="15">
      <c r="A306" s="284"/>
      <c r="B306" s="84" t="s">
        <v>348</v>
      </c>
      <c r="C306" s="49" t="s">
        <v>333</v>
      </c>
      <c r="D306" s="17">
        <v>1.26</v>
      </c>
      <c r="E306" s="13">
        <v>6.06</v>
      </c>
      <c r="F306" s="48"/>
      <c r="G306" s="17">
        <f t="shared" si="21"/>
        <v>-4.8</v>
      </c>
      <c r="H306" s="48">
        <v>0</v>
      </c>
      <c r="I306" s="17">
        <v>7.88</v>
      </c>
      <c r="J306" s="17">
        <f t="shared" si="22"/>
        <v>12.68</v>
      </c>
      <c r="K306" s="285"/>
      <c r="L306" s="282"/>
    </row>
    <row r="307" spans="1:12" s="101" customFormat="1" ht="15">
      <c r="A307" s="284"/>
      <c r="B307" s="84" t="s">
        <v>349</v>
      </c>
      <c r="C307" s="49" t="s">
        <v>333</v>
      </c>
      <c r="D307" s="17">
        <v>1.3</v>
      </c>
      <c r="E307" s="13">
        <v>0.25</v>
      </c>
      <c r="F307" s="48">
        <v>10</v>
      </c>
      <c r="G307" s="17">
        <f t="shared" si="21"/>
        <v>1.05</v>
      </c>
      <c r="H307" s="48">
        <v>0</v>
      </c>
      <c r="I307" s="17">
        <v>7.88</v>
      </c>
      <c r="J307" s="17">
        <f t="shared" si="22"/>
        <v>6.83</v>
      </c>
      <c r="K307" s="285"/>
      <c r="L307" s="282"/>
    </row>
    <row r="308" spans="1:12" s="101" customFormat="1" ht="15">
      <c r="A308" s="48">
        <v>66</v>
      </c>
      <c r="B308" s="84" t="s">
        <v>223</v>
      </c>
      <c r="C308" s="49" t="s">
        <v>325</v>
      </c>
      <c r="D308" s="17">
        <v>0.36</v>
      </c>
      <c r="E308" s="13">
        <v>0.2</v>
      </c>
      <c r="F308" s="48">
        <v>120</v>
      </c>
      <c r="G308" s="17">
        <f t="shared" si="21"/>
        <v>0.15999999999999998</v>
      </c>
      <c r="H308" s="48">
        <v>0</v>
      </c>
      <c r="I308" s="17">
        <f>1.05*2.5</f>
        <v>2.625</v>
      </c>
      <c r="J308" s="17">
        <f t="shared" si="22"/>
        <v>2.465</v>
      </c>
      <c r="K308" s="17">
        <f>J308</f>
        <v>2.465</v>
      </c>
      <c r="L308" s="23" t="s">
        <v>362</v>
      </c>
    </row>
    <row r="309" spans="1:12" s="101" customFormat="1" ht="15">
      <c r="A309" s="48">
        <v>67</v>
      </c>
      <c r="B309" s="84" t="s">
        <v>224</v>
      </c>
      <c r="C309" s="49" t="s">
        <v>334</v>
      </c>
      <c r="D309" s="17">
        <v>0.45</v>
      </c>
      <c r="E309" s="13">
        <v>0.37</v>
      </c>
      <c r="F309" s="48">
        <v>120</v>
      </c>
      <c r="G309" s="17">
        <f t="shared" si="21"/>
        <v>0.08000000000000002</v>
      </c>
      <c r="H309" s="48">
        <v>0</v>
      </c>
      <c r="I309" s="17">
        <f>1.05*1.6</f>
        <v>1.6800000000000002</v>
      </c>
      <c r="J309" s="17">
        <f t="shared" si="22"/>
        <v>1.6</v>
      </c>
      <c r="K309" s="17">
        <f>J309</f>
        <v>1.6</v>
      </c>
      <c r="L309" s="23" t="s">
        <v>362</v>
      </c>
    </row>
    <row r="310" spans="1:12" s="101" customFormat="1" ht="15">
      <c r="A310" s="48">
        <v>68</v>
      </c>
      <c r="B310" s="84" t="s">
        <v>225</v>
      </c>
      <c r="C310" s="49" t="s">
        <v>335</v>
      </c>
      <c r="D310" s="17">
        <v>1.22</v>
      </c>
      <c r="E310" s="13">
        <v>1.1</v>
      </c>
      <c r="F310" s="48">
        <v>80</v>
      </c>
      <c r="G310" s="17">
        <f t="shared" si="21"/>
        <v>0.11999999999999988</v>
      </c>
      <c r="H310" s="48">
        <v>0</v>
      </c>
      <c r="I310" s="17">
        <f>1.05*4</f>
        <v>4.2</v>
      </c>
      <c r="J310" s="17">
        <f t="shared" si="22"/>
        <v>4.08</v>
      </c>
      <c r="K310" s="17">
        <f>J310</f>
        <v>4.08</v>
      </c>
      <c r="L310" s="23" t="s">
        <v>362</v>
      </c>
    </row>
    <row r="311" spans="1:12" s="101" customFormat="1" ht="15">
      <c r="A311" s="48">
        <v>69</v>
      </c>
      <c r="B311" s="84" t="s">
        <v>37</v>
      </c>
      <c r="C311" s="49" t="s">
        <v>339</v>
      </c>
      <c r="D311" s="17">
        <v>0.2</v>
      </c>
      <c r="E311" s="13">
        <v>1.43</v>
      </c>
      <c r="F311" s="48">
        <v>120</v>
      </c>
      <c r="G311" s="17">
        <f t="shared" si="21"/>
        <v>-1.23</v>
      </c>
      <c r="H311" s="48">
        <v>0</v>
      </c>
      <c r="I311" s="17">
        <f>1.05*1.6</f>
        <v>1.6800000000000002</v>
      </c>
      <c r="J311" s="17">
        <f t="shared" si="22"/>
        <v>2.91</v>
      </c>
      <c r="K311" s="17">
        <f aca="true" t="shared" si="23" ref="K311:K373">J311</f>
        <v>2.91</v>
      </c>
      <c r="L311" s="23" t="s">
        <v>362</v>
      </c>
    </row>
    <row r="312" spans="1:12" s="101" customFormat="1" ht="15">
      <c r="A312" s="48">
        <v>70</v>
      </c>
      <c r="B312" s="84" t="s">
        <v>226</v>
      </c>
      <c r="C312" s="49" t="s">
        <v>335</v>
      </c>
      <c r="D312" s="17">
        <v>0.61</v>
      </c>
      <c r="E312" s="13">
        <v>6.1</v>
      </c>
      <c r="F312" s="48">
        <v>0</v>
      </c>
      <c r="G312" s="17">
        <f t="shared" si="21"/>
        <v>-5.489999999999999</v>
      </c>
      <c r="H312" s="48">
        <v>0</v>
      </c>
      <c r="I312" s="17">
        <f>1.05*4</f>
        <v>4.2</v>
      </c>
      <c r="J312" s="17">
        <f t="shared" si="22"/>
        <v>9.69</v>
      </c>
      <c r="K312" s="17">
        <f t="shared" si="23"/>
        <v>9.69</v>
      </c>
      <c r="L312" s="23" t="s">
        <v>362</v>
      </c>
    </row>
    <row r="313" spans="1:12" s="101" customFormat="1" ht="15">
      <c r="A313" s="48">
        <v>71</v>
      </c>
      <c r="B313" s="84" t="s">
        <v>227</v>
      </c>
      <c r="C313" s="49" t="s">
        <v>336</v>
      </c>
      <c r="D313" s="59">
        <v>0.08</v>
      </c>
      <c r="E313" s="13">
        <v>0.15</v>
      </c>
      <c r="F313" s="48">
        <v>120</v>
      </c>
      <c r="G313" s="17">
        <f t="shared" si="21"/>
        <v>-0.06999999999999999</v>
      </c>
      <c r="H313" s="48">
        <v>0</v>
      </c>
      <c r="I313" s="17">
        <f>1.05*1</f>
        <v>1.05</v>
      </c>
      <c r="J313" s="17">
        <f t="shared" si="22"/>
        <v>1.12</v>
      </c>
      <c r="K313" s="17">
        <f t="shared" si="23"/>
        <v>1.12</v>
      </c>
      <c r="L313" s="23" t="s">
        <v>362</v>
      </c>
    </row>
    <row r="314" spans="1:12" s="101" customFormat="1" ht="15">
      <c r="A314" s="48">
        <v>72</v>
      </c>
      <c r="B314" s="84" t="s">
        <v>228</v>
      </c>
      <c r="C314" s="49" t="s">
        <v>337</v>
      </c>
      <c r="D314" s="17">
        <v>1.05</v>
      </c>
      <c r="E314" s="13">
        <v>0.29</v>
      </c>
      <c r="F314" s="48">
        <v>120</v>
      </c>
      <c r="G314" s="17">
        <f t="shared" si="21"/>
        <v>0.76</v>
      </c>
      <c r="H314" s="48">
        <v>0</v>
      </c>
      <c r="I314" s="17">
        <f>1.05*2.5</f>
        <v>2.625</v>
      </c>
      <c r="J314" s="17">
        <f t="shared" si="22"/>
        <v>1.865</v>
      </c>
      <c r="K314" s="17">
        <f t="shared" si="23"/>
        <v>1.865</v>
      </c>
      <c r="L314" s="23" t="s">
        <v>362</v>
      </c>
    </row>
    <row r="315" spans="1:12" s="101" customFormat="1" ht="15">
      <c r="A315" s="48">
        <v>73</v>
      </c>
      <c r="B315" s="84" t="s">
        <v>229</v>
      </c>
      <c r="C315" s="49" t="s">
        <v>325</v>
      </c>
      <c r="D315" s="17">
        <v>0.4</v>
      </c>
      <c r="E315" s="13">
        <v>0.41</v>
      </c>
      <c r="F315" s="48">
        <v>120</v>
      </c>
      <c r="G315" s="17">
        <f t="shared" si="21"/>
        <v>-0.009999999999999953</v>
      </c>
      <c r="H315" s="48">
        <v>0</v>
      </c>
      <c r="I315" s="17">
        <f>1.05*2.5</f>
        <v>2.625</v>
      </c>
      <c r="J315" s="17">
        <f t="shared" si="22"/>
        <v>2.635</v>
      </c>
      <c r="K315" s="17">
        <f t="shared" si="23"/>
        <v>2.635</v>
      </c>
      <c r="L315" s="23" t="s">
        <v>362</v>
      </c>
    </row>
    <row r="316" spans="1:12" s="101" customFormat="1" ht="15">
      <c r="A316" s="48">
        <v>74</v>
      </c>
      <c r="B316" s="84" t="s">
        <v>230</v>
      </c>
      <c r="C316" s="49" t="s">
        <v>338</v>
      </c>
      <c r="D316" s="59">
        <v>1.37</v>
      </c>
      <c r="E316" s="13">
        <v>0.4</v>
      </c>
      <c r="F316" s="48">
        <v>120</v>
      </c>
      <c r="G316" s="17">
        <f t="shared" si="21"/>
        <v>0.9700000000000001</v>
      </c>
      <c r="H316" s="48">
        <v>0</v>
      </c>
      <c r="I316" s="17">
        <f>1.05*4</f>
        <v>4.2</v>
      </c>
      <c r="J316" s="17">
        <f t="shared" si="22"/>
        <v>3.23</v>
      </c>
      <c r="K316" s="17">
        <f t="shared" si="23"/>
        <v>3.23</v>
      </c>
      <c r="L316" s="23" t="s">
        <v>362</v>
      </c>
    </row>
    <row r="317" spans="1:12" s="101" customFormat="1" ht="15">
      <c r="A317" s="48">
        <v>75</v>
      </c>
      <c r="B317" s="84" t="s">
        <v>231</v>
      </c>
      <c r="C317" s="49" t="s">
        <v>339</v>
      </c>
      <c r="D317" s="17">
        <v>0.55</v>
      </c>
      <c r="E317" s="13">
        <v>0.22</v>
      </c>
      <c r="F317" s="48">
        <v>120</v>
      </c>
      <c r="G317" s="17">
        <f t="shared" si="21"/>
        <v>0.33000000000000007</v>
      </c>
      <c r="H317" s="48">
        <v>0</v>
      </c>
      <c r="I317" s="17">
        <f>1.05*1.6</f>
        <v>1.6800000000000002</v>
      </c>
      <c r="J317" s="17">
        <f t="shared" si="22"/>
        <v>1.35</v>
      </c>
      <c r="K317" s="17">
        <f t="shared" si="23"/>
        <v>1.35</v>
      </c>
      <c r="L317" s="23" t="s">
        <v>362</v>
      </c>
    </row>
    <row r="318" spans="1:12" s="101" customFormat="1" ht="15">
      <c r="A318" s="48">
        <v>76</v>
      </c>
      <c r="B318" s="84" t="s">
        <v>232</v>
      </c>
      <c r="C318" s="49" t="s">
        <v>337</v>
      </c>
      <c r="D318" s="17">
        <v>0.4</v>
      </c>
      <c r="E318" s="13">
        <v>0.46</v>
      </c>
      <c r="F318" s="48">
        <v>120</v>
      </c>
      <c r="G318" s="17">
        <f t="shared" si="21"/>
        <v>-0.06</v>
      </c>
      <c r="H318" s="48">
        <v>0</v>
      </c>
      <c r="I318" s="17">
        <f>1.05*2.5</f>
        <v>2.625</v>
      </c>
      <c r="J318" s="17">
        <f t="shared" si="22"/>
        <v>2.685</v>
      </c>
      <c r="K318" s="17">
        <f t="shared" si="23"/>
        <v>2.685</v>
      </c>
      <c r="L318" s="23" t="s">
        <v>362</v>
      </c>
    </row>
    <row r="319" spans="1:12" s="101" customFormat="1" ht="15">
      <c r="A319" s="48">
        <v>77</v>
      </c>
      <c r="B319" s="84" t="s">
        <v>233</v>
      </c>
      <c r="C319" s="49" t="s">
        <v>335</v>
      </c>
      <c r="D319" s="59">
        <v>0.4</v>
      </c>
      <c r="E319" s="13">
        <v>0</v>
      </c>
      <c r="F319" s="48">
        <v>0</v>
      </c>
      <c r="G319" s="17">
        <f t="shared" si="21"/>
        <v>0.4</v>
      </c>
      <c r="H319" s="48">
        <v>0</v>
      </c>
      <c r="I319" s="17">
        <f>1.05*4</f>
        <v>4.2</v>
      </c>
      <c r="J319" s="17">
        <f t="shared" si="22"/>
        <v>3.8000000000000003</v>
      </c>
      <c r="K319" s="17">
        <f t="shared" si="23"/>
        <v>3.8000000000000003</v>
      </c>
      <c r="L319" s="23" t="s">
        <v>362</v>
      </c>
    </row>
    <row r="320" spans="1:12" s="101" customFormat="1" ht="15">
      <c r="A320" s="48">
        <v>78</v>
      </c>
      <c r="B320" s="84" t="s">
        <v>234</v>
      </c>
      <c r="C320" s="49" t="s">
        <v>324</v>
      </c>
      <c r="D320" s="17">
        <v>2.37</v>
      </c>
      <c r="E320" s="13">
        <v>0.46</v>
      </c>
      <c r="F320" s="48">
        <v>120</v>
      </c>
      <c r="G320" s="17">
        <f t="shared" si="21"/>
        <v>1.9100000000000001</v>
      </c>
      <c r="H320" s="48">
        <v>0</v>
      </c>
      <c r="I320" s="17">
        <f>1.05*6.3</f>
        <v>6.615</v>
      </c>
      <c r="J320" s="17">
        <f t="shared" si="22"/>
        <v>4.705</v>
      </c>
      <c r="K320" s="17">
        <f t="shared" si="23"/>
        <v>4.705</v>
      </c>
      <c r="L320" s="23" t="s">
        <v>362</v>
      </c>
    </row>
    <row r="321" spans="1:12" s="101" customFormat="1" ht="15">
      <c r="A321" s="48">
        <v>79</v>
      </c>
      <c r="B321" s="84" t="s">
        <v>235</v>
      </c>
      <c r="C321" s="49" t="s">
        <v>325</v>
      </c>
      <c r="D321" s="17">
        <v>1.38</v>
      </c>
      <c r="E321" s="13">
        <v>0.51</v>
      </c>
      <c r="F321" s="48">
        <v>120</v>
      </c>
      <c r="G321" s="17">
        <f t="shared" si="21"/>
        <v>0.8699999999999999</v>
      </c>
      <c r="H321" s="48">
        <v>0</v>
      </c>
      <c r="I321" s="17">
        <f>1.05*2.5</f>
        <v>2.625</v>
      </c>
      <c r="J321" s="17">
        <f t="shared" si="22"/>
        <v>1.7550000000000001</v>
      </c>
      <c r="K321" s="17">
        <f t="shared" si="23"/>
        <v>1.7550000000000001</v>
      </c>
      <c r="L321" s="23" t="s">
        <v>362</v>
      </c>
    </row>
    <row r="322" spans="1:12" s="101" customFormat="1" ht="15">
      <c r="A322" s="48">
        <v>80</v>
      </c>
      <c r="B322" s="84" t="s">
        <v>236</v>
      </c>
      <c r="C322" s="49" t="s">
        <v>339</v>
      </c>
      <c r="D322" s="17">
        <v>0.44</v>
      </c>
      <c r="E322" s="13">
        <v>0.17</v>
      </c>
      <c r="F322" s="48">
        <v>120</v>
      </c>
      <c r="G322" s="17">
        <f t="shared" si="21"/>
        <v>0.27</v>
      </c>
      <c r="H322" s="48">
        <v>0</v>
      </c>
      <c r="I322" s="17">
        <f>1.05*1.6</f>
        <v>1.6800000000000002</v>
      </c>
      <c r="J322" s="17">
        <f t="shared" si="22"/>
        <v>1.4100000000000001</v>
      </c>
      <c r="K322" s="17">
        <f t="shared" si="23"/>
        <v>1.4100000000000001</v>
      </c>
      <c r="L322" s="23" t="s">
        <v>362</v>
      </c>
    </row>
    <row r="323" spans="1:12" s="101" customFormat="1" ht="15">
      <c r="A323" s="48">
        <v>81</v>
      </c>
      <c r="B323" s="84" t="s">
        <v>237</v>
      </c>
      <c r="C323" s="49" t="s">
        <v>335</v>
      </c>
      <c r="D323" s="17">
        <v>2.33</v>
      </c>
      <c r="E323" s="13">
        <v>0.7</v>
      </c>
      <c r="F323" s="48">
        <v>45</v>
      </c>
      <c r="G323" s="17">
        <f t="shared" si="21"/>
        <v>1.6300000000000001</v>
      </c>
      <c r="H323" s="48">
        <v>0</v>
      </c>
      <c r="I323" s="17">
        <f>1.05*4</f>
        <v>4.2</v>
      </c>
      <c r="J323" s="17">
        <f t="shared" si="22"/>
        <v>2.5700000000000003</v>
      </c>
      <c r="K323" s="17">
        <f t="shared" si="23"/>
        <v>2.5700000000000003</v>
      </c>
      <c r="L323" s="23" t="s">
        <v>362</v>
      </c>
    </row>
    <row r="324" spans="1:12" s="101" customFormat="1" ht="15">
      <c r="A324" s="48">
        <v>82</v>
      </c>
      <c r="B324" s="84" t="s">
        <v>238</v>
      </c>
      <c r="C324" s="49" t="s">
        <v>325</v>
      </c>
      <c r="D324" s="17">
        <v>1.2</v>
      </c>
      <c r="E324" s="13">
        <v>1.69</v>
      </c>
      <c r="F324" s="48">
        <v>20</v>
      </c>
      <c r="G324" s="17">
        <f t="shared" si="21"/>
        <v>-0.49</v>
      </c>
      <c r="H324" s="48">
        <v>0</v>
      </c>
      <c r="I324" s="17">
        <f>1.05*2.5</f>
        <v>2.625</v>
      </c>
      <c r="J324" s="17">
        <f t="shared" si="22"/>
        <v>3.115</v>
      </c>
      <c r="K324" s="17">
        <f t="shared" si="23"/>
        <v>3.115</v>
      </c>
      <c r="L324" s="23" t="s">
        <v>362</v>
      </c>
    </row>
    <row r="325" spans="1:12" s="101" customFormat="1" ht="15">
      <c r="A325" s="48">
        <v>83</v>
      </c>
      <c r="B325" s="84" t="s">
        <v>239</v>
      </c>
      <c r="C325" s="49" t="s">
        <v>339</v>
      </c>
      <c r="D325" s="17">
        <v>0.25</v>
      </c>
      <c r="E325" s="13">
        <v>0.38</v>
      </c>
      <c r="F325" s="48">
        <v>120</v>
      </c>
      <c r="G325" s="17">
        <f t="shared" si="21"/>
        <v>-0.13</v>
      </c>
      <c r="H325" s="48">
        <v>0</v>
      </c>
      <c r="I325" s="17">
        <f>1.05*1.6</f>
        <v>1.6800000000000002</v>
      </c>
      <c r="J325" s="17">
        <f t="shared" si="22"/>
        <v>1.81</v>
      </c>
      <c r="K325" s="17">
        <f t="shared" si="23"/>
        <v>1.81</v>
      </c>
      <c r="L325" s="23" t="s">
        <v>362</v>
      </c>
    </row>
    <row r="326" spans="1:12" s="101" customFormat="1" ht="15">
      <c r="A326" s="48">
        <v>84</v>
      </c>
      <c r="B326" s="84" t="s">
        <v>240</v>
      </c>
      <c r="C326" s="49" t="s">
        <v>337</v>
      </c>
      <c r="D326" s="17">
        <v>3.44</v>
      </c>
      <c r="E326" s="13">
        <v>3.5</v>
      </c>
      <c r="F326" s="48">
        <v>0</v>
      </c>
      <c r="G326" s="17">
        <f t="shared" si="21"/>
        <v>-0.06000000000000005</v>
      </c>
      <c r="H326" s="48">
        <v>0</v>
      </c>
      <c r="I326" s="17">
        <f>1.05*2.5</f>
        <v>2.625</v>
      </c>
      <c r="J326" s="17">
        <f t="shared" si="22"/>
        <v>2.685</v>
      </c>
      <c r="K326" s="17">
        <f t="shared" si="23"/>
        <v>2.685</v>
      </c>
      <c r="L326" s="23" t="s">
        <v>362</v>
      </c>
    </row>
    <row r="327" spans="1:12" s="101" customFormat="1" ht="15">
      <c r="A327" s="48">
        <v>85</v>
      </c>
      <c r="B327" s="84" t="s">
        <v>241</v>
      </c>
      <c r="C327" s="49" t="s">
        <v>325</v>
      </c>
      <c r="D327" s="17">
        <v>0.86</v>
      </c>
      <c r="E327" s="13">
        <v>0.26</v>
      </c>
      <c r="F327" s="48">
        <v>120</v>
      </c>
      <c r="G327" s="17">
        <f t="shared" si="21"/>
        <v>0.6</v>
      </c>
      <c r="H327" s="48">
        <v>0</v>
      </c>
      <c r="I327" s="17">
        <f>1.05*2.5</f>
        <v>2.625</v>
      </c>
      <c r="J327" s="17">
        <f t="shared" si="22"/>
        <v>2.025</v>
      </c>
      <c r="K327" s="17">
        <f t="shared" si="23"/>
        <v>2.025</v>
      </c>
      <c r="L327" s="23" t="s">
        <v>362</v>
      </c>
    </row>
    <row r="328" spans="1:12" s="101" customFormat="1" ht="15">
      <c r="A328" s="48">
        <v>86</v>
      </c>
      <c r="B328" s="84" t="s">
        <v>242</v>
      </c>
      <c r="C328" s="49" t="s">
        <v>329</v>
      </c>
      <c r="D328" s="17">
        <v>10.39</v>
      </c>
      <c r="E328" s="13">
        <v>2.5</v>
      </c>
      <c r="F328" s="48">
        <v>0</v>
      </c>
      <c r="G328" s="17">
        <f t="shared" si="21"/>
        <v>7.890000000000001</v>
      </c>
      <c r="H328" s="48">
        <v>0</v>
      </c>
      <c r="I328" s="17">
        <f>1.05*10</f>
        <v>10.5</v>
      </c>
      <c r="J328" s="17">
        <f t="shared" si="22"/>
        <v>2.6099999999999994</v>
      </c>
      <c r="K328" s="17">
        <f t="shared" si="23"/>
        <v>2.6099999999999994</v>
      </c>
      <c r="L328" s="23" t="s">
        <v>362</v>
      </c>
    </row>
    <row r="329" spans="1:12" s="101" customFormat="1" ht="15">
      <c r="A329" s="48">
        <v>87</v>
      </c>
      <c r="B329" s="84" t="s">
        <v>243</v>
      </c>
      <c r="C329" s="49" t="s">
        <v>335</v>
      </c>
      <c r="D329" s="17">
        <v>0.98</v>
      </c>
      <c r="E329" s="13">
        <v>1.67</v>
      </c>
      <c r="F329" s="48">
        <v>0</v>
      </c>
      <c r="G329" s="17">
        <f t="shared" si="21"/>
        <v>-0.69</v>
      </c>
      <c r="H329" s="48">
        <v>0</v>
      </c>
      <c r="I329" s="17">
        <f>1.05*4</f>
        <v>4.2</v>
      </c>
      <c r="J329" s="17">
        <f t="shared" si="22"/>
        <v>4.890000000000001</v>
      </c>
      <c r="K329" s="17">
        <f t="shared" si="23"/>
        <v>4.890000000000001</v>
      </c>
      <c r="L329" s="23" t="s">
        <v>362</v>
      </c>
    </row>
    <row r="330" spans="1:12" s="101" customFormat="1" ht="15">
      <c r="A330" s="48">
        <v>88</v>
      </c>
      <c r="B330" s="84" t="s">
        <v>244</v>
      </c>
      <c r="C330" s="49" t="s">
        <v>334</v>
      </c>
      <c r="D330" s="17">
        <v>0.9</v>
      </c>
      <c r="E330" s="13">
        <v>0.93</v>
      </c>
      <c r="F330" s="48">
        <v>45</v>
      </c>
      <c r="G330" s="17">
        <f t="shared" si="21"/>
        <v>-0.030000000000000027</v>
      </c>
      <c r="H330" s="48">
        <v>0</v>
      </c>
      <c r="I330" s="17">
        <f>1.05*1.6</f>
        <v>1.6800000000000002</v>
      </c>
      <c r="J330" s="17">
        <f t="shared" si="22"/>
        <v>1.7100000000000002</v>
      </c>
      <c r="K330" s="17">
        <f t="shared" si="23"/>
        <v>1.7100000000000002</v>
      </c>
      <c r="L330" s="23" t="s">
        <v>362</v>
      </c>
    </row>
    <row r="331" spans="1:12" s="101" customFormat="1" ht="15">
      <c r="A331" s="48">
        <v>89</v>
      </c>
      <c r="B331" s="84" t="s">
        <v>245</v>
      </c>
      <c r="C331" s="49" t="s">
        <v>324</v>
      </c>
      <c r="D331" s="17">
        <v>2.29</v>
      </c>
      <c r="E331" s="13">
        <v>2.69</v>
      </c>
      <c r="F331" s="48">
        <v>80</v>
      </c>
      <c r="G331" s="17">
        <f t="shared" si="21"/>
        <v>-0.3999999999999999</v>
      </c>
      <c r="H331" s="48">
        <v>0</v>
      </c>
      <c r="I331" s="17">
        <f>1.05*6.3</f>
        <v>6.615</v>
      </c>
      <c r="J331" s="17">
        <f t="shared" si="22"/>
        <v>7.015000000000001</v>
      </c>
      <c r="K331" s="17">
        <f t="shared" si="23"/>
        <v>7.015000000000001</v>
      </c>
      <c r="L331" s="23" t="s">
        <v>362</v>
      </c>
    </row>
    <row r="332" spans="1:12" s="101" customFormat="1" ht="15">
      <c r="A332" s="48">
        <v>90</v>
      </c>
      <c r="B332" s="84" t="s">
        <v>246</v>
      </c>
      <c r="C332" s="49" t="s">
        <v>340</v>
      </c>
      <c r="D332" s="59">
        <v>0.4</v>
      </c>
      <c r="E332" s="13">
        <v>0.5</v>
      </c>
      <c r="F332" s="48">
        <v>120</v>
      </c>
      <c r="G332" s="17">
        <f t="shared" si="21"/>
        <v>-0.09999999999999998</v>
      </c>
      <c r="H332" s="48">
        <v>0</v>
      </c>
      <c r="I332" s="17">
        <f>1.05*1.8</f>
        <v>1.8900000000000001</v>
      </c>
      <c r="J332" s="17">
        <f t="shared" si="22"/>
        <v>1.9900000000000002</v>
      </c>
      <c r="K332" s="17">
        <f t="shared" si="23"/>
        <v>1.9900000000000002</v>
      </c>
      <c r="L332" s="23" t="s">
        <v>362</v>
      </c>
    </row>
    <row r="333" spans="1:12" s="101" customFormat="1" ht="15">
      <c r="A333" s="48">
        <v>91</v>
      </c>
      <c r="B333" s="84" t="s">
        <v>80</v>
      </c>
      <c r="C333" s="49" t="s">
        <v>339</v>
      </c>
      <c r="D333" s="59">
        <v>0.33</v>
      </c>
      <c r="E333" s="13">
        <v>0.52</v>
      </c>
      <c r="F333" s="48">
        <v>120</v>
      </c>
      <c r="G333" s="17">
        <f t="shared" si="21"/>
        <v>-0.19</v>
      </c>
      <c r="H333" s="48">
        <v>0</v>
      </c>
      <c r="I333" s="17">
        <f>1.05*1.6</f>
        <v>1.6800000000000002</v>
      </c>
      <c r="J333" s="17">
        <f t="shared" si="22"/>
        <v>1.87</v>
      </c>
      <c r="K333" s="17">
        <f t="shared" si="23"/>
        <v>1.87</v>
      </c>
      <c r="L333" s="23" t="s">
        <v>362</v>
      </c>
    </row>
    <row r="334" spans="1:12" s="101" customFormat="1" ht="15">
      <c r="A334" s="48">
        <v>92</v>
      </c>
      <c r="B334" s="84" t="s">
        <v>247</v>
      </c>
      <c r="C334" s="49" t="s">
        <v>329</v>
      </c>
      <c r="D334" s="17">
        <v>9.78</v>
      </c>
      <c r="E334" s="13">
        <v>6.25</v>
      </c>
      <c r="F334" s="48">
        <v>20</v>
      </c>
      <c r="G334" s="17">
        <f t="shared" si="21"/>
        <v>3.5299999999999994</v>
      </c>
      <c r="H334" s="48">
        <v>0</v>
      </c>
      <c r="I334" s="17">
        <f>1.05*10</f>
        <v>10.5</v>
      </c>
      <c r="J334" s="17">
        <f t="shared" si="22"/>
        <v>6.970000000000001</v>
      </c>
      <c r="K334" s="17">
        <f t="shared" si="23"/>
        <v>6.970000000000001</v>
      </c>
      <c r="L334" s="23" t="s">
        <v>362</v>
      </c>
    </row>
    <row r="335" spans="1:12" s="101" customFormat="1" ht="28.5">
      <c r="A335" s="48">
        <v>93</v>
      </c>
      <c r="B335" s="84" t="s">
        <v>248</v>
      </c>
      <c r="C335" s="49" t="s">
        <v>324</v>
      </c>
      <c r="D335" s="17">
        <v>3.1</v>
      </c>
      <c r="E335" s="13">
        <v>0.21</v>
      </c>
      <c r="F335" s="48">
        <v>120</v>
      </c>
      <c r="G335" s="17">
        <f t="shared" si="21"/>
        <v>2.89</v>
      </c>
      <c r="H335" s="48">
        <v>0</v>
      </c>
      <c r="I335" s="17">
        <f>1.05*6.3</f>
        <v>6.615</v>
      </c>
      <c r="J335" s="17">
        <f t="shared" si="22"/>
        <v>3.725</v>
      </c>
      <c r="K335" s="17">
        <f t="shared" si="23"/>
        <v>3.725</v>
      </c>
      <c r="L335" s="23" t="s">
        <v>362</v>
      </c>
    </row>
    <row r="336" spans="1:12" s="101" customFormat="1" ht="15">
      <c r="A336" s="48">
        <v>94</v>
      </c>
      <c r="B336" s="84" t="s">
        <v>249</v>
      </c>
      <c r="C336" s="49" t="s">
        <v>341</v>
      </c>
      <c r="D336" s="17">
        <v>2.19</v>
      </c>
      <c r="E336" s="13">
        <v>1.14</v>
      </c>
      <c r="F336" s="48">
        <v>80</v>
      </c>
      <c r="G336" s="17">
        <f t="shared" si="21"/>
        <v>1.05</v>
      </c>
      <c r="H336" s="48">
        <v>0</v>
      </c>
      <c r="I336" s="17">
        <f>1.05*3.2</f>
        <v>3.3600000000000003</v>
      </c>
      <c r="J336" s="17">
        <f t="shared" si="22"/>
        <v>2.3100000000000005</v>
      </c>
      <c r="K336" s="17">
        <f t="shared" si="23"/>
        <v>2.3100000000000005</v>
      </c>
      <c r="L336" s="23" t="s">
        <v>362</v>
      </c>
    </row>
    <row r="337" spans="1:12" s="101" customFormat="1" ht="15">
      <c r="A337" s="48">
        <v>95</v>
      </c>
      <c r="B337" s="84" t="s">
        <v>250</v>
      </c>
      <c r="C337" s="49" t="s">
        <v>342</v>
      </c>
      <c r="D337" s="17">
        <v>4.35</v>
      </c>
      <c r="E337" s="13">
        <v>1.56</v>
      </c>
      <c r="F337" s="48">
        <v>80</v>
      </c>
      <c r="G337" s="17">
        <f t="shared" si="21"/>
        <v>2.7899999999999996</v>
      </c>
      <c r="H337" s="48">
        <v>0</v>
      </c>
      <c r="I337" s="17">
        <f>1.05*4</f>
        <v>4.2</v>
      </c>
      <c r="J337" s="17">
        <f t="shared" si="22"/>
        <v>1.4100000000000006</v>
      </c>
      <c r="K337" s="17">
        <f t="shared" si="23"/>
        <v>1.4100000000000006</v>
      </c>
      <c r="L337" s="23" t="s">
        <v>362</v>
      </c>
    </row>
    <row r="338" spans="1:12" s="101" customFormat="1" ht="15">
      <c r="A338" s="48">
        <v>96</v>
      </c>
      <c r="B338" s="84" t="s">
        <v>251</v>
      </c>
      <c r="C338" s="49" t="s">
        <v>337</v>
      </c>
      <c r="D338" s="17">
        <v>0.62</v>
      </c>
      <c r="E338" s="13">
        <v>0.24</v>
      </c>
      <c r="F338" s="48">
        <v>120</v>
      </c>
      <c r="G338" s="17">
        <f t="shared" si="21"/>
        <v>0.38</v>
      </c>
      <c r="H338" s="48">
        <v>0</v>
      </c>
      <c r="I338" s="17">
        <f>1.05*2.5</f>
        <v>2.625</v>
      </c>
      <c r="J338" s="17">
        <f t="shared" si="22"/>
        <v>2.245</v>
      </c>
      <c r="K338" s="17">
        <f t="shared" si="23"/>
        <v>2.245</v>
      </c>
      <c r="L338" s="23" t="s">
        <v>362</v>
      </c>
    </row>
    <row r="339" spans="1:12" s="101" customFormat="1" ht="15">
      <c r="A339" s="48">
        <v>97</v>
      </c>
      <c r="B339" s="84" t="s">
        <v>252</v>
      </c>
      <c r="C339" s="49" t="s">
        <v>340</v>
      </c>
      <c r="D339" s="17">
        <v>1.5</v>
      </c>
      <c r="E339" s="13">
        <v>0.42</v>
      </c>
      <c r="F339" s="48">
        <v>120</v>
      </c>
      <c r="G339" s="17">
        <f t="shared" si="21"/>
        <v>1.08</v>
      </c>
      <c r="H339" s="48">
        <v>0</v>
      </c>
      <c r="I339" s="17">
        <f>1.05*1.8</f>
        <v>1.8900000000000001</v>
      </c>
      <c r="J339" s="17">
        <f t="shared" si="22"/>
        <v>0.81</v>
      </c>
      <c r="K339" s="17">
        <f t="shared" si="23"/>
        <v>0.81</v>
      </c>
      <c r="L339" s="23" t="s">
        <v>362</v>
      </c>
    </row>
    <row r="340" spans="1:12" s="101" customFormat="1" ht="15">
      <c r="A340" s="48">
        <v>98</v>
      </c>
      <c r="B340" s="84" t="s">
        <v>253</v>
      </c>
      <c r="C340" s="49" t="s">
        <v>325</v>
      </c>
      <c r="D340" s="17">
        <v>0.86</v>
      </c>
      <c r="E340" s="13">
        <v>0.6</v>
      </c>
      <c r="F340" s="48">
        <v>120</v>
      </c>
      <c r="G340" s="17">
        <f t="shared" si="21"/>
        <v>0.26</v>
      </c>
      <c r="H340" s="48">
        <v>0</v>
      </c>
      <c r="I340" s="17">
        <f>1.05*2.5</f>
        <v>2.625</v>
      </c>
      <c r="J340" s="17">
        <f t="shared" si="22"/>
        <v>2.365</v>
      </c>
      <c r="K340" s="17">
        <f t="shared" si="23"/>
        <v>2.365</v>
      </c>
      <c r="L340" s="23" t="s">
        <v>362</v>
      </c>
    </row>
    <row r="341" spans="1:12" s="101" customFormat="1" ht="15">
      <c r="A341" s="48">
        <v>99</v>
      </c>
      <c r="B341" s="84" t="s">
        <v>254</v>
      </c>
      <c r="C341" s="49" t="s">
        <v>325</v>
      </c>
      <c r="D341" s="59">
        <v>0.14</v>
      </c>
      <c r="E341" s="13">
        <v>0.17</v>
      </c>
      <c r="F341" s="48">
        <v>120</v>
      </c>
      <c r="G341" s="17">
        <f t="shared" si="21"/>
        <v>-0.03</v>
      </c>
      <c r="H341" s="48">
        <v>0</v>
      </c>
      <c r="I341" s="17">
        <f>1.05*2.5</f>
        <v>2.625</v>
      </c>
      <c r="J341" s="17">
        <f t="shared" si="22"/>
        <v>2.655</v>
      </c>
      <c r="K341" s="17">
        <f t="shared" si="23"/>
        <v>2.655</v>
      </c>
      <c r="L341" s="23" t="s">
        <v>362</v>
      </c>
    </row>
    <row r="342" spans="1:12" s="101" customFormat="1" ht="15">
      <c r="A342" s="48">
        <v>100</v>
      </c>
      <c r="B342" s="84" t="s">
        <v>255</v>
      </c>
      <c r="C342" s="49" t="s">
        <v>329</v>
      </c>
      <c r="D342" s="17">
        <v>4.52</v>
      </c>
      <c r="E342" s="13">
        <v>4.5</v>
      </c>
      <c r="F342" s="48">
        <v>80</v>
      </c>
      <c r="G342" s="17">
        <f t="shared" si="21"/>
        <v>0.019999999999999574</v>
      </c>
      <c r="H342" s="48">
        <v>0</v>
      </c>
      <c r="I342" s="17">
        <f>1.05*10</f>
        <v>10.5</v>
      </c>
      <c r="J342" s="17">
        <f t="shared" si="22"/>
        <v>10.48</v>
      </c>
      <c r="K342" s="17">
        <f t="shared" si="23"/>
        <v>10.48</v>
      </c>
      <c r="L342" s="23" t="s">
        <v>362</v>
      </c>
    </row>
    <row r="343" spans="1:12" s="101" customFormat="1" ht="15">
      <c r="A343" s="48">
        <v>101</v>
      </c>
      <c r="B343" s="84" t="s">
        <v>256</v>
      </c>
      <c r="C343" s="49" t="s">
        <v>325</v>
      </c>
      <c r="D343" s="59">
        <v>0.08</v>
      </c>
      <c r="E343" s="13">
        <v>0.05</v>
      </c>
      <c r="F343" s="48">
        <v>120</v>
      </c>
      <c r="G343" s="17">
        <f t="shared" si="21"/>
        <v>0.03</v>
      </c>
      <c r="H343" s="48">
        <v>0</v>
      </c>
      <c r="I343" s="17">
        <f>1.05*2.5</f>
        <v>2.625</v>
      </c>
      <c r="J343" s="17">
        <f t="shared" si="22"/>
        <v>2.595</v>
      </c>
      <c r="K343" s="17">
        <f t="shared" si="23"/>
        <v>2.595</v>
      </c>
      <c r="L343" s="23" t="s">
        <v>362</v>
      </c>
    </row>
    <row r="344" spans="1:12" s="101" customFormat="1" ht="15">
      <c r="A344" s="48">
        <v>102</v>
      </c>
      <c r="B344" s="84" t="s">
        <v>257</v>
      </c>
      <c r="C344" s="49" t="s">
        <v>325</v>
      </c>
      <c r="D344" s="59">
        <v>0.23</v>
      </c>
      <c r="E344" s="13">
        <v>0.25</v>
      </c>
      <c r="F344" s="48">
        <v>120</v>
      </c>
      <c r="G344" s="17">
        <f t="shared" si="21"/>
        <v>-0.01999999999999999</v>
      </c>
      <c r="H344" s="48">
        <v>0</v>
      </c>
      <c r="I344" s="17">
        <f>1.05*2.5</f>
        <v>2.625</v>
      </c>
      <c r="J344" s="17">
        <f t="shared" si="22"/>
        <v>2.645</v>
      </c>
      <c r="K344" s="17">
        <f t="shared" si="23"/>
        <v>2.645</v>
      </c>
      <c r="L344" s="23" t="s">
        <v>362</v>
      </c>
    </row>
    <row r="345" spans="1:12" s="101" customFormat="1" ht="15">
      <c r="A345" s="48">
        <v>103</v>
      </c>
      <c r="B345" s="84" t="s">
        <v>258</v>
      </c>
      <c r="C345" s="49" t="s">
        <v>324</v>
      </c>
      <c r="D345" s="17">
        <v>3.03</v>
      </c>
      <c r="E345" s="13">
        <v>0.23</v>
      </c>
      <c r="F345" s="48">
        <v>120</v>
      </c>
      <c r="G345" s="17">
        <f t="shared" si="21"/>
        <v>2.8</v>
      </c>
      <c r="H345" s="48">
        <v>0</v>
      </c>
      <c r="I345" s="17">
        <f>1.05*6.3</f>
        <v>6.615</v>
      </c>
      <c r="J345" s="17">
        <f t="shared" si="22"/>
        <v>3.8150000000000004</v>
      </c>
      <c r="K345" s="17">
        <f t="shared" si="23"/>
        <v>3.8150000000000004</v>
      </c>
      <c r="L345" s="23" t="s">
        <v>362</v>
      </c>
    </row>
    <row r="346" spans="1:12" s="101" customFormat="1" ht="15">
      <c r="A346" s="48">
        <v>104</v>
      </c>
      <c r="B346" s="84" t="s">
        <v>259</v>
      </c>
      <c r="C346" s="49" t="s">
        <v>335</v>
      </c>
      <c r="D346" s="17">
        <v>0.75</v>
      </c>
      <c r="E346" s="13">
        <v>1.59</v>
      </c>
      <c r="F346" s="48">
        <v>80</v>
      </c>
      <c r="G346" s="17">
        <f aca="true" t="shared" si="24" ref="G346:G396">D346-E346</f>
        <v>-0.8400000000000001</v>
      </c>
      <c r="H346" s="48">
        <v>0</v>
      </c>
      <c r="I346" s="17">
        <f>1.05*4</f>
        <v>4.2</v>
      </c>
      <c r="J346" s="17">
        <f t="shared" si="22"/>
        <v>5.04</v>
      </c>
      <c r="K346" s="17">
        <f t="shared" si="23"/>
        <v>5.04</v>
      </c>
      <c r="L346" s="23" t="s">
        <v>362</v>
      </c>
    </row>
    <row r="347" spans="1:12" s="101" customFormat="1" ht="15">
      <c r="A347" s="48">
        <v>105</v>
      </c>
      <c r="B347" s="84" t="s">
        <v>260</v>
      </c>
      <c r="C347" s="49" t="s">
        <v>325</v>
      </c>
      <c r="D347" s="17">
        <v>0.65</v>
      </c>
      <c r="E347" s="13">
        <v>0.08</v>
      </c>
      <c r="F347" s="48">
        <v>120</v>
      </c>
      <c r="G347" s="17">
        <f t="shared" si="24"/>
        <v>0.5700000000000001</v>
      </c>
      <c r="H347" s="48">
        <v>0</v>
      </c>
      <c r="I347" s="17">
        <f>1.05*2.5</f>
        <v>2.625</v>
      </c>
      <c r="J347" s="17">
        <f aca="true" t="shared" si="25" ref="J347:J396">I347-H347-G347</f>
        <v>2.0549999999999997</v>
      </c>
      <c r="K347" s="17">
        <f t="shared" si="23"/>
        <v>2.0549999999999997</v>
      </c>
      <c r="L347" s="23" t="s">
        <v>362</v>
      </c>
    </row>
    <row r="348" spans="1:12" s="101" customFormat="1" ht="15">
      <c r="A348" s="48">
        <v>106</v>
      </c>
      <c r="B348" s="84" t="s">
        <v>261</v>
      </c>
      <c r="C348" s="49" t="s">
        <v>325</v>
      </c>
      <c r="D348" s="17">
        <v>0.5</v>
      </c>
      <c r="E348" s="13">
        <v>0.3</v>
      </c>
      <c r="F348" s="48">
        <v>120</v>
      </c>
      <c r="G348" s="17">
        <f t="shared" si="24"/>
        <v>0.2</v>
      </c>
      <c r="H348" s="48">
        <v>0</v>
      </c>
      <c r="I348" s="17">
        <f>1.05*2.5</f>
        <v>2.625</v>
      </c>
      <c r="J348" s="17">
        <f t="shared" si="25"/>
        <v>2.425</v>
      </c>
      <c r="K348" s="17">
        <f t="shared" si="23"/>
        <v>2.425</v>
      </c>
      <c r="L348" s="23" t="s">
        <v>362</v>
      </c>
    </row>
    <row r="349" spans="1:12" s="101" customFormat="1" ht="15">
      <c r="A349" s="48">
        <v>107</v>
      </c>
      <c r="B349" s="84" t="s">
        <v>262</v>
      </c>
      <c r="C349" s="49" t="s">
        <v>342</v>
      </c>
      <c r="D349" s="59">
        <v>1.5</v>
      </c>
      <c r="E349" s="13">
        <v>1.7</v>
      </c>
      <c r="F349" s="48">
        <v>80</v>
      </c>
      <c r="G349" s="17">
        <f t="shared" si="24"/>
        <v>-0.19999999999999996</v>
      </c>
      <c r="H349" s="48">
        <v>0</v>
      </c>
      <c r="I349" s="17">
        <f>1.05*4</f>
        <v>4.2</v>
      </c>
      <c r="J349" s="17">
        <f t="shared" si="25"/>
        <v>4.4</v>
      </c>
      <c r="K349" s="17">
        <f t="shared" si="23"/>
        <v>4.4</v>
      </c>
      <c r="L349" s="23" t="s">
        <v>362</v>
      </c>
    </row>
    <row r="350" spans="1:12" s="101" customFormat="1" ht="15">
      <c r="A350" s="48">
        <v>108</v>
      </c>
      <c r="B350" s="84" t="s">
        <v>263</v>
      </c>
      <c r="C350" s="49" t="s">
        <v>335</v>
      </c>
      <c r="D350" s="17">
        <v>0.87</v>
      </c>
      <c r="E350" s="13">
        <v>0.3</v>
      </c>
      <c r="F350" s="48">
        <v>120</v>
      </c>
      <c r="G350" s="17">
        <f t="shared" si="24"/>
        <v>0.5700000000000001</v>
      </c>
      <c r="H350" s="48">
        <v>0</v>
      </c>
      <c r="I350" s="17">
        <f>1.05*4</f>
        <v>4.2</v>
      </c>
      <c r="J350" s="17">
        <f t="shared" si="25"/>
        <v>3.63</v>
      </c>
      <c r="K350" s="17">
        <f t="shared" si="23"/>
        <v>3.63</v>
      </c>
      <c r="L350" s="23" t="s">
        <v>362</v>
      </c>
    </row>
    <row r="351" spans="1:12" s="101" customFormat="1" ht="15">
      <c r="A351" s="48">
        <v>109</v>
      </c>
      <c r="B351" s="84" t="s">
        <v>264</v>
      </c>
      <c r="C351" s="49" t="s">
        <v>325</v>
      </c>
      <c r="D351" s="17">
        <v>0.51</v>
      </c>
      <c r="E351" s="13">
        <v>0.63</v>
      </c>
      <c r="F351" s="48">
        <v>120</v>
      </c>
      <c r="G351" s="17">
        <f t="shared" si="24"/>
        <v>-0.12</v>
      </c>
      <c r="H351" s="48">
        <v>0</v>
      </c>
      <c r="I351" s="17">
        <f>1.05*2.5</f>
        <v>2.625</v>
      </c>
      <c r="J351" s="17">
        <f t="shared" si="25"/>
        <v>2.745</v>
      </c>
      <c r="K351" s="17">
        <f t="shared" si="23"/>
        <v>2.745</v>
      </c>
      <c r="L351" s="23" t="s">
        <v>362</v>
      </c>
    </row>
    <row r="352" spans="1:12" s="101" customFormat="1" ht="15">
      <c r="A352" s="48">
        <v>110</v>
      </c>
      <c r="B352" s="84" t="s">
        <v>265</v>
      </c>
      <c r="C352" s="49" t="s">
        <v>343</v>
      </c>
      <c r="D352" s="17">
        <v>0.42</v>
      </c>
      <c r="E352" s="13">
        <v>0.03</v>
      </c>
      <c r="F352" s="48">
        <v>80</v>
      </c>
      <c r="G352" s="17">
        <f t="shared" si="24"/>
        <v>0.39</v>
      </c>
      <c r="H352" s="48">
        <v>0</v>
      </c>
      <c r="I352" s="17">
        <f>1.05*1.6</f>
        <v>1.6800000000000002</v>
      </c>
      <c r="J352" s="17">
        <f t="shared" si="25"/>
        <v>1.29</v>
      </c>
      <c r="K352" s="17">
        <f t="shared" si="23"/>
        <v>1.29</v>
      </c>
      <c r="L352" s="23" t="s">
        <v>362</v>
      </c>
    </row>
    <row r="353" spans="1:12" s="101" customFormat="1" ht="15">
      <c r="A353" s="48">
        <v>111</v>
      </c>
      <c r="B353" s="84" t="s">
        <v>266</v>
      </c>
      <c r="C353" s="49" t="s">
        <v>325</v>
      </c>
      <c r="D353" s="17">
        <v>1.2</v>
      </c>
      <c r="E353" s="13">
        <v>0.4</v>
      </c>
      <c r="F353" s="48">
        <v>120</v>
      </c>
      <c r="G353" s="17">
        <f t="shared" si="24"/>
        <v>0.7999999999999999</v>
      </c>
      <c r="H353" s="48">
        <v>0</v>
      </c>
      <c r="I353" s="17">
        <f>1.05*2.5</f>
        <v>2.625</v>
      </c>
      <c r="J353" s="17">
        <f t="shared" si="25"/>
        <v>1.8250000000000002</v>
      </c>
      <c r="K353" s="17">
        <f t="shared" si="23"/>
        <v>1.8250000000000002</v>
      </c>
      <c r="L353" s="23" t="s">
        <v>362</v>
      </c>
    </row>
    <row r="354" spans="1:12" s="101" customFormat="1" ht="15">
      <c r="A354" s="48">
        <v>112</v>
      </c>
      <c r="B354" s="84" t="s">
        <v>267</v>
      </c>
      <c r="C354" s="49" t="s">
        <v>325</v>
      </c>
      <c r="D354" s="17">
        <v>0.56</v>
      </c>
      <c r="E354" s="13">
        <v>0.19</v>
      </c>
      <c r="F354" s="48">
        <v>120</v>
      </c>
      <c r="G354" s="17">
        <f t="shared" si="24"/>
        <v>0.37000000000000005</v>
      </c>
      <c r="H354" s="48">
        <v>0</v>
      </c>
      <c r="I354" s="17">
        <f>1.05*2.5</f>
        <v>2.625</v>
      </c>
      <c r="J354" s="17">
        <f t="shared" si="25"/>
        <v>2.255</v>
      </c>
      <c r="K354" s="17">
        <f t="shared" si="23"/>
        <v>2.255</v>
      </c>
      <c r="L354" s="23" t="s">
        <v>362</v>
      </c>
    </row>
    <row r="355" spans="1:12" s="101" customFormat="1" ht="15">
      <c r="A355" s="48">
        <v>113</v>
      </c>
      <c r="B355" s="84" t="s">
        <v>268</v>
      </c>
      <c r="C355" s="49" t="s">
        <v>325</v>
      </c>
      <c r="D355" s="17">
        <v>0.17</v>
      </c>
      <c r="E355" s="17">
        <v>0.52</v>
      </c>
      <c r="F355" s="48">
        <v>120</v>
      </c>
      <c r="G355" s="17">
        <f t="shared" si="24"/>
        <v>-0.35</v>
      </c>
      <c r="H355" s="48">
        <v>0</v>
      </c>
      <c r="I355" s="17">
        <f>1.05*2.5</f>
        <v>2.625</v>
      </c>
      <c r="J355" s="17">
        <f t="shared" si="25"/>
        <v>2.975</v>
      </c>
      <c r="K355" s="17">
        <f t="shared" si="23"/>
        <v>2.975</v>
      </c>
      <c r="L355" s="23" t="s">
        <v>362</v>
      </c>
    </row>
    <row r="356" spans="1:12" s="101" customFormat="1" ht="15">
      <c r="A356" s="48">
        <v>114</v>
      </c>
      <c r="B356" s="84" t="s">
        <v>269</v>
      </c>
      <c r="C356" s="49" t="s">
        <v>325</v>
      </c>
      <c r="D356" s="59">
        <v>0.18</v>
      </c>
      <c r="E356" s="13">
        <v>0.2</v>
      </c>
      <c r="F356" s="48">
        <v>120</v>
      </c>
      <c r="G356" s="17">
        <f t="shared" si="24"/>
        <v>-0.020000000000000018</v>
      </c>
      <c r="H356" s="48">
        <v>0</v>
      </c>
      <c r="I356" s="17">
        <f>1.05*2.5</f>
        <v>2.625</v>
      </c>
      <c r="J356" s="17">
        <f t="shared" si="25"/>
        <v>2.645</v>
      </c>
      <c r="K356" s="17">
        <f t="shared" si="23"/>
        <v>2.645</v>
      </c>
      <c r="L356" s="23" t="s">
        <v>362</v>
      </c>
    </row>
    <row r="357" spans="1:12" s="101" customFormat="1" ht="15">
      <c r="A357" s="48">
        <v>115</v>
      </c>
      <c r="B357" s="84" t="s">
        <v>270</v>
      </c>
      <c r="C357" s="49" t="s">
        <v>342</v>
      </c>
      <c r="D357" s="17">
        <v>1.26</v>
      </c>
      <c r="E357" s="13">
        <v>0.74</v>
      </c>
      <c r="F357" s="48">
        <v>120</v>
      </c>
      <c r="G357" s="17">
        <f t="shared" si="24"/>
        <v>0.52</v>
      </c>
      <c r="H357" s="48">
        <v>0</v>
      </c>
      <c r="I357" s="17">
        <f>1.05*4</f>
        <v>4.2</v>
      </c>
      <c r="J357" s="17">
        <f t="shared" si="25"/>
        <v>3.68</v>
      </c>
      <c r="K357" s="17">
        <f t="shared" si="23"/>
        <v>3.68</v>
      </c>
      <c r="L357" s="23" t="s">
        <v>362</v>
      </c>
    </row>
    <row r="358" spans="1:12" s="101" customFormat="1" ht="15">
      <c r="A358" s="48">
        <v>116</v>
      </c>
      <c r="B358" s="84" t="s">
        <v>271</v>
      </c>
      <c r="C358" s="49" t="s">
        <v>325</v>
      </c>
      <c r="D358" s="17">
        <v>0.28</v>
      </c>
      <c r="E358" s="13">
        <v>0.11</v>
      </c>
      <c r="F358" s="48">
        <v>80</v>
      </c>
      <c r="G358" s="17">
        <f t="shared" si="24"/>
        <v>0.17000000000000004</v>
      </c>
      <c r="H358" s="48">
        <v>0</v>
      </c>
      <c r="I358" s="17">
        <f>1.05*2.5</f>
        <v>2.625</v>
      </c>
      <c r="J358" s="17">
        <f t="shared" si="25"/>
        <v>2.455</v>
      </c>
      <c r="K358" s="17">
        <f t="shared" si="23"/>
        <v>2.455</v>
      </c>
      <c r="L358" s="23" t="s">
        <v>362</v>
      </c>
    </row>
    <row r="359" spans="1:12" s="101" customFormat="1" ht="15">
      <c r="A359" s="48">
        <v>117</v>
      </c>
      <c r="B359" s="84" t="s">
        <v>272</v>
      </c>
      <c r="C359" s="49" t="s">
        <v>344</v>
      </c>
      <c r="D359" s="59">
        <v>0.62</v>
      </c>
      <c r="E359" s="13">
        <v>0.52</v>
      </c>
      <c r="F359" s="48">
        <v>120</v>
      </c>
      <c r="G359" s="17">
        <f t="shared" si="24"/>
        <v>0.09999999999999998</v>
      </c>
      <c r="H359" s="48">
        <v>0</v>
      </c>
      <c r="I359" s="17">
        <f>1.05*2.5</f>
        <v>2.625</v>
      </c>
      <c r="J359" s="17">
        <f t="shared" si="25"/>
        <v>2.525</v>
      </c>
      <c r="K359" s="17">
        <f t="shared" si="23"/>
        <v>2.525</v>
      </c>
      <c r="L359" s="23" t="s">
        <v>362</v>
      </c>
    </row>
    <row r="360" spans="1:12" s="101" customFormat="1" ht="15">
      <c r="A360" s="48">
        <v>118</v>
      </c>
      <c r="B360" s="84" t="s">
        <v>273</v>
      </c>
      <c r="C360" s="49" t="s">
        <v>337</v>
      </c>
      <c r="D360" s="17">
        <v>1.61</v>
      </c>
      <c r="E360" s="13">
        <v>0.3</v>
      </c>
      <c r="F360" s="48">
        <v>120</v>
      </c>
      <c r="G360" s="17">
        <f t="shared" si="24"/>
        <v>1.31</v>
      </c>
      <c r="H360" s="48">
        <v>0</v>
      </c>
      <c r="I360" s="17">
        <f>1.05*2.5</f>
        <v>2.625</v>
      </c>
      <c r="J360" s="17">
        <f t="shared" si="25"/>
        <v>1.315</v>
      </c>
      <c r="K360" s="17">
        <f t="shared" si="23"/>
        <v>1.315</v>
      </c>
      <c r="L360" s="23" t="s">
        <v>362</v>
      </c>
    </row>
    <row r="361" spans="1:12" s="101" customFormat="1" ht="15">
      <c r="A361" s="48">
        <v>119</v>
      </c>
      <c r="B361" s="84" t="s">
        <v>274</v>
      </c>
      <c r="C361" s="49" t="s">
        <v>325</v>
      </c>
      <c r="D361" s="17">
        <v>1.38</v>
      </c>
      <c r="E361" s="13">
        <v>0.26</v>
      </c>
      <c r="F361" s="48">
        <v>120</v>
      </c>
      <c r="G361" s="17">
        <f t="shared" si="24"/>
        <v>1.1199999999999999</v>
      </c>
      <c r="H361" s="48">
        <v>0</v>
      </c>
      <c r="I361" s="17">
        <f>1.05*2.5</f>
        <v>2.625</v>
      </c>
      <c r="J361" s="17">
        <f t="shared" si="25"/>
        <v>1.5050000000000001</v>
      </c>
      <c r="K361" s="17">
        <f t="shared" si="23"/>
        <v>1.5050000000000001</v>
      </c>
      <c r="L361" s="23" t="s">
        <v>362</v>
      </c>
    </row>
    <row r="362" spans="1:12" s="101" customFormat="1" ht="15">
      <c r="A362" s="48">
        <v>120</v>
      </c>
      <c r="B362" s="84" t="s">
        <v>275</v>
      </c>
      <c r="C362" s="49" t="s">
        <v>339</v>
      </c>
      <c r="D362" s="17">
        <v>0.19</v>
      </c>
      <c r="E362" s="13">
        <v>0.46</v>
      </c>
      <c r="F362" s="48">
        <v>120</v>
      </c>
      <c r="G362" s="17">
        <f t="shared" si="24"/>
        <v>-0.27</v>
      </c>
      <c r="H362" s="48">
        <v>0</v>
      </c>
      <c r="I362" s="17">
        <f>1.05*1.6</f>
        <v>1.6800000000000002</v>
      </c>
      <c r="J362" s="17">
        <f t="shared" si="25"/>
        <v>1.9500000000000002</v>
      </c>
      <c r="K362" s="17">
        <f t="shared" si="23"/>
        <v>1.9500000000000002</v>
      </c>
      <c r="L362" s="23" t="s">
        <v>362</v>
      </c>
    </row>
    <row r="363" spans="1:12" s="101" customFormat="1" ht="15">
      <c r="A363" s="48">
        <v>121</v>
      </c>
      <c r="B363" s="84" t="s">
        <v>276</v>
      </c>
      <c r="C363" s="49" t="s">
        <v>335</v>
      </c>
      <c r="D363" s="17">
        <v>0.5</v>
      </c>
      <c r="E363" s="13">
        <v>1.16</v>
      </c>
      <c r="F363" s="48">
        <v>120</v>
      </c>
      <c r="G363" s="17">
        <f t="shared" si="24"/>
        <v>-0.6599999999999999</v>
      </c>
      <c r="H363" s="48">
        <v>0</v>
      </c>
      <c r="I363" s="17">
        <f>1.05*4</f>
        <v>4.2</v>
      </c>
      <c r="J363" s="17">
        <f t="shared" si="25"/>
        <v>4.86</v>
      </c>
      <c r="K363" s="17">
        <f t="shared" si="23"/>
        <v>4.86</v>
      </c>
      <c r="L363" s="23" t="s">
        <v>362</v>
      </c>
    </row>
    <row r="364" spans="1:12" s="101" customFormat="1" ht="15">
      <c r="A364" s="48">
        <v>122</v>
      </c>
      <c r="B364" s="84" t="s">
        <v>277</v>
      </c>
      <c r="C364" s="49" t="s">
        <v>324</v>
      </c>
      <c r="D364" s="59">
        <v>0.03</v>
      </c>
      <c r="E364" s="13">
        <v>0.08</v>
      </c>
      <c r="F364" s="48">
        <v>120</v>
      </c>
      <c r="G364" s="17">
        <f t="shared" si="24"/>
        <v>-0.05</v>
      </c>
      <c r="H364" s="48">
        <v>0</v>
      </c>
      <c r="I364" s="17">
        <f>1.05*6.3</f>
        <v>6.615</v>
      </c>
      <c r="J364" s="17">
        <f t="shared" si="25"/>
        <v>6.665</v>
      </c>
      <c r="K364" s="17">
        <f t="shared" si="23"/>
        <v>6.665</v>
      </c>
      <c r="L364" s="23" t="s">
        <v>362</v>
      </c>
    </row>
    <row r="365" spans="1:12" s="101" customFormat="1" ht="15">
      <c r="A365" s="48">
        <v>123</v>
      </c>
      <c r="B365" s="84" t="s">
        <v>278</v>
      </c>
      <c r="C365" s="49" t="s">
        <v>325</v>
      </c>
      <c r="D365" s="17">
        <v>1.39</v>
      </c>
      <c r="E365" s="13">
        <v>0.3</v>
      </c>
      <c r="F365" s="48">
        <v>80</v>
      </c>
      <c r="G365" s="17">
        <f t="shared" si="24"/>
        <v>1.0899999999999999</v>
      </c>
      <c r="H365" s="48">
        <v>0</v>
      </c>
      <c r="I365" s="17">
        <f>1.05*2.5</f>
        <v>2.625</v>
      </c>
      <c r="J365" s="17">
        <f t="shared" si="25"/>
        <v>1.5350000000000001</v>
      </c>
      <c r="K365" s="17">
        <f t="shared" si="23"/>
        <v>1.5350000000000001</v>
      </c>
      <c r="L365" s="23" t="s">
        <v>362</v>
      </c>
    </row>
    <row r="366" spans="1:12" s="101" customFormat="1" ht="15">
      <c r="A366" s="48">
        <v>124</v>
      </c>
      <c r="B366" s="84" t="s">
        <v>279</v>
      </c>
      <c r="C366" s="49" t="s">
        <v>339</v>
      </c>
      <c r="D366" s="17">
        <v>0.3</v>
      </c>
      <c r="E366" s="13">
        <v>0.24</v>
      </c>
      <c r="F366" s="48">
        <v>120</v>
      </c>
      <c r="G366" s="17">
        <f t="shared" si="24"/>
        <v>0.06</v>
      </c>
      <c r="H366" s="48">
        <v>0</v>
      </c>
      <c r="I366" s="17">
        <f>1.05*1.6</f>
        <v>1.6800000000000002</v>
      </c>
      <c r="J366" s="17">
        <f t="shared" si="25"/>
        <v>1.62</v>
      </c>
      <c r="K366" s="17">
        <f t="shared" si="23"/>
        <v>1.62</v>
      </c>
      <c r="L366" s="23" t="s">
        <v>362</v>
      </c>
    </row>
    <row r="367" spans="1:12" s="101" customFormat="1" ht="15">
      <c r="A367" s="48">
        <v>125</v>
      </c>
      <c r="B367" s="84" t="s">
        <v>280</v>
      </c>
      <c r="C367" s="49" t="s">
        <v>345</v>
      </c>
      <c r="D367" s="17">
        <v>0.39</v>
      </c>
      <c r="E367" s="13">
        <v>0.43</v>
      </c>
      <c r="F367" s="48">
        <v>120</v>
      </c>
      <c r="G367" s="17">
        <f t="shared" si="24"/>
        <v>-0.03999999999999998</v>
      </c>
      <c r="H367" s="48">
        <v>0</v>
      </c>
      <c r="I367" s="17">
        <f>1.05*1.6</f>
        <v>1.6800000000000002</v>
      </c>
      <c r="J367" s="17">
        <f t="shared" si="25"/>
        <v>1.7200000000000002</v>
      </c>
      <c r="K367" s="17">
        <f t="shared" si="23"/>
        <v>1.7200000000000002</v>
      </c>
      <c r="L367" s="23" t="s">
        <v>362</v>
      </c>
    </row>
    <row r="368" spans="1:12" s="101" customFormat="1" ht="15">
      <c r="A368" s="48">
        <v>126</v>
      </c>
      <c r="B368" s="84" t="s">
        <v>281</v>
      </c>
      <c r="C368" s="49" t="s">
        <v>325</v>
      </c>
      <c r="D368" s="17">
        <v>0.77</v>
      </c>
      <c r="E368" s="13">
        <v>0.32</v>
      </c>
      <c r="F368" s="48">
        <v>120</v>
      </c>
      <c r="G368" s="17">
        <f t="shared" si="24"/>
        <v>0.45</v>
      </c>
      <c r="H368" s="48">
        <v>0</v>
      </c>
      <c r="I368" s="17">
        <f>1.05*2.5</f>
        <v>2.625</v>
      </c>
      <c r="J368" s="17">
        <f t="shared" si="25"/>
        <v>2.175</v>
      </c>
      <c r="K368" s="17">
        <f t="shared" si="23"/>
        <v>2.175</v>
      </c>
      <c r="L368" s="23" t="s">
        <v>362</v>
      </c>
    </row>
    <row r="369" spans="1:12" s="101" customFormat="1" ht="15">
      <c r="A369" s="48">
        <v>127</v>
      </c>
      <c r="B369" s="84" t="s">
        <v>282</v>
      </c>
      <c r="C369" s="49" t="s">
        <v>325</v>
      </c>
      <c r="D369" s="17">
        <v>0.38</v>
      </c>
      <c r="E369" s="13">
        <v>0.44</v>
      </c>
      <c r="F369" s="48">
        <v>120</v>
      </c>
      <c r="G369" s="17">
        <f t="shared" si="24"/>
        <v>-0.06</v>
      </c>
      <c r="H369" s="48">
        <v>0</v>
      </c>
      <c r="I369" s="17">
        <f>1.05*2.5</f>
        <v>2.625</v>
      </c>
      <c r="J369" s="17">
        <f t="shared" si="25"/>
        <v>2.685</v>
      </c>
      <c r="K369" s="17">
        <f t="shared" si="23"/>
        <v>2.685</v>
      </c>
      <c r="L369" s="23" t="s">
        <v>362</v>
      </c>
    </row>
    <row r="370" spans="1:12" s="101" customFormat="1" ht="15">
      <c r="A370" s="48">
        <v>128</v>
      </c>
      <c r="B370" s="84" t="s">
        <v>283</v>
      </c>
      <c r="C370" s="49" t="s">
        <v>335</v>
      </c>
      <c r="D370" s="59">
        <v>1.91</v>
      </c>
      <c r="E370" s="13">
        <v>1.03</v>
      </c>
      <c r="F370" s="48">
        <v>120</v>
      </c>
      <c r="G370" s="17">
        <f t="shared" si="24"/>
        <v>0.8799999999999999</v>
      </c>
      <c r="H370" s="48">
        <v>0</v>
      </c>
      <c r="I370" s="17">
        <f>1.05*4</f>
        <v>4.2</v>
      </c>
      <c r="J370" s="17">
        <f t="shared" si="25"/>
        <v>3.3200000000000003</v>
      </c>
      <c r="K370" s="17">
        <f t="shared" si="23"/>
        <v>3.3200000000000003</v>
      </c>
      <c r="L370" s="23" t="s">
        <v>362</v>
      </c>
    </row>
    <row r="371" spans="1:12" s="101" customFormat="1" ht="15">
      <c r="A371" s="48">
        <v>129</v>
      </c>
      <c r="B371" s="84" t="s">
        <v>284</v>
      </c>
      <c r="C371" s="49" t="s">
        <v>335</v>
      </c>
      <c r="D371" s="17">
        <v>0.74</v>
      </c>
      <c r="E371" s="13">
        <v>0.11</v>
      </c>
      <c r="F371" s="48">
        <v>120</v>
      </c>
      <c r="G371" s="17">
        <f t="shared" si="24"/>
        <v>0.63</v>
      </c>
      <c r="H371" s="48">
        <v>0</v>
      </c>
      <c r="I371" s="17">
        <f>1.05*4</f>
        <v>4.2</v>
      </c>
      <c r="J371" s="17">
        <f t="shared" si="25"/>
        <v>3.5700000000000003</v>
      </c>
      <c r="K371" s="17">
        <f t="shared" si="23"/>
        <v>3.5700000000000003</v>
      </c>
      <c r="L371" s="23" t="s">
        <v>362</v>
      </c>
    </row>
    <row r="372" spans="1:12" s="101" customFormat="1" ht="15">
      <c r="A372" s="48">
        <v>130</v>
      </c>
      <c r="B372" s="84" t="s">
        <v>285</v>
      </c>
      <c r="C372" s="49" t="s">
        <v>339</v>
      </c>
      <c r="D372" s="17">
        <v>0.28</v>
      </c>
      <c r="E372" s="13">
        <v>0.29</v>
      </c>
      <c r="F372" s="48">
        <v>120</v>
      </c>
      <c r="G372" s="17">
        <f t="shared" si="24"/>
        <v>-0.009999999999999953</v>
      </c>
      <c r="H372" s="48">
        <v>0</v>
      </c>
      <c r="I372" s="17">
        <f>1.05*1.6</f>
        <v>1.6800000000000002</v>
      </c>
      <c r="J372" s="17">
        <f t="shared" si="25"/>
        <v>1.6900000000000002</v>
      </c>
      <c r="K372" s="17">
        <f t="shared" si="23"/>
        <v>1.6900000000000002</v>
      </c>
      <c r="L372" s="23" t="s">
        <v>362</v>
      </c>
    </row>
    <row r="373" spans="1:12" s="101" customFormat="1" ht="15">
      <c r="A373" s="48">
        <v>131</v>
      </c>
      <c r="B373" s="84" t="s">
        <v>286</v>
      </c>
      <c r="C373" s="49" t="s">
        <v>325</v>
      </c>
      <c r="D373" s="17">
        <v>1.25</v>
      </c>
      <c r="E373" s="13">
        <v>1.18</v>
      </c>
      <c r="F373" s="48">
        <v>80</v>
      </c>
      <c r="G373" s="17">
        <f t="shared" si="24"/>
        <v>0.07000000000000006</v>
      </c>
      <c r="H373" s="48">
        <v>0</v>
      </c>
      <c r="I373" s="17">
        <f>1.05*2.5</f>
        <v>2.625</v>
      </c>
      <c r="J373" s="17">
        <f t="shared" si="25"/>
        <v>2.5549999999999997</v>
      </c>
      <c r="K373" s="17">
        <f t="shared" si="23"/>
        <v>2.5549999999999997</v>
      </c>
      <c r="L373" s="23" t="s">
        <v>362</v>
      </c>
    </row>
    <row r="374" spans="1:12" s="101" customFormat="1" ht="15">
      <c r="A374" s="48">
        <v>132</v>
      </c>
      <c r="B374" s="84" t="s">
        <v>287</v>
      </c>
      <c r="C374" s="49" t="s">
        <v>339</v>
      </c>
      <c r="D374" s="17">
        <v>0.28</v>
      </c>
      <c r="E374" s="13">
        <v>0.08</v>
      </c>
      <c r="F374" s="48">
        <v>20</v>
      </c>
      <c r="G374" s="17">
        <f t="shared" si="24"/>
        <v>0.2</v>
      </c>
      <c r="H374" s="48">
        <v>0</v>
      </c>
      <c r="I374" s="17">
        <f>1.05*1.6</f>
        <v>1.6800000000000002</v>
      </c>
      <c r="J374" s="17">
        <f t="shared" si="25"/>
        <v>1.4800000000000002</v>
      </c>
      <c r="K374" s="17">
        <f aca="true" t="shared" si="26" ref="K374:K393">J374</f>
        <v>1.4800000000000002</v>
      </c>
      <c r="L374" s="23" t="s">
        <v>362</v>
      </c>
    </row>
    <row r="375" spans="1:12" s="101" customFormat="1" ht="15">
      <c r="A375" s="48">
        <v>133</v>
      </c>
      <c r="B375" s="84" t="s">
        <v>288</v>
      </c>
      <c r="C375" s="49" t="s">
        <v>325</v>
      </c>
      <c r="D375" s="17">
        <v>1.39</v>
      </c>
      <c r="E375" s="13">
        <v>0.6</v>
      </c>
      <c r="F375" s="48">
        <v>20</v>
      </c>
      <c r="G375" s="17">
        <f t="shared" si="24"/>
        <v>0.7899999999999999</v>
      </c>
      <c r="H375" s="48">
        <v>0</v>
      </c>
      <c r="I375" s="17">
        <f>1.05*2.5</f>
        <v>2.625</v>
      </c>
      <c r="J375" s="17">
        <f t="shared" si="25"/>
        <v>1.835</v>
      </c>
      <c r="K375" s="17">
        <f t="shared" si="26"/>
        <v>1.835</v>
      </c>
      <c r="L375" s="23" t="s">
        <v>362</v>
      </c>
    </row>
    <row r="376" spans="1:12" s="101" customFormat="1" ht="15">
      <c r="A376" s="48">
        <v>134</v>
      </c>
      <c r="B376" s="84" t="s">
        <v>289</v>
      </c>
      <c r="C376" s="49" t="s">
        <v>324</v>
      </c>
      <c r="D376" s="17">
        <v>4.41</v>
      </c>
      <c r="E376" s="13">
        <v>2.25</v>
      </c>
      <c r="F376" s="48">
        <v>80</v>
      </c>
      <c r="G376" s="17">
        <f t="shared" si="24"/>
        <v>2.16</v>
      </c>
      <c r="H376" s="48">
        <v>0</v>
      </c>
      <c r="I376" s="17">
        <f>1.05*6.3</f>
        <v>6.615</v>
      </c>
      <c r="J376" s="17">
        <f t="shared" si="25"/>
        <v>4.455</v>
      </c>
      <c r="K376" s="17">
        <f t="shared" si="26"/>
        <v>4.455</v>
      </c>
      <c r="L376" s="23" t="s">
        <v>362</v>
      </c>
    </row>
    <row r="377" spans="1:12" s="101" customFormat="1" ht="15">
      <c r="A377" s="48">
        <v>135</v>
      </c>
      <c r="B377" s="84" t="s">
        <v>290</v>
      </c>
      <c r="C377" s="49" t="s">
        <v>335</v>
      </c>
      <c r="D377" s="17">
        <v>2.09</v>
      </c>
      <c r="E377" s="13">
        <v>1.4</v>
      </c>
      <c r="F377" s="48">
        <v>45</v>
      </c>
      <c r="G377" s="17">
        <f t="shared" si="24"/>
        <v>0.69</v>
      </c>
      <c r="H377" s="48">
        <v>0</v>
      </c>
      <c r="I377" s="17">
        <f>1.05*4</f>
        <v>4.2</v>
      </c>
      <c r="J377" s="17">
        <f t="shared" si="25"/>
        <v>3.5100000000000002</v>
      </c>
      <c r="K377" s="17">
        <f t="shared" si="26"/>
        <v>3.5100000000000002</v>
      </c>
      <c r="L377" s="23" t="s">
        <v>362</v>
      </c>
    </row>
    <row r="378" spans="1:12" s="101" customFormat="1" ht="15">
      <c r="A378" s="48">
        <v>136</v>
      </c>
      <c r="B378" s="84" t="s">
        <v>291</v>
      </c>
      <c r="C378" s="49" t="s">
        <v>325</v>
      </c>
      <c r="D378" s="17">
        <v>0.4</v>
      </c>
      <c r="E378" s="13">
        <v>0</v>
      </c>
      <c r="F378" s="48" t="s">
        <v>354</v>
      </c>
      <c r="G378" s="17">
        <f t="shared" si="24"/>
        <v>0.4</v>
      </c>
      <c r="H378" s="48">
        <v>0</v>
      </c>
      <c r="I378" s="17">
        <f>1.05*2.5</f>
        <v>2.625</v>
      </c>
      <c r="J378" s="17">
        <f t="shared" si="25"/>
        <v>2.225</v>
      </c>
      <c r="K378" s="17">
        <f t="shared" si="26"/>
        <v>2.225</v>
      </c>
      <c r="L378" s="23" t="s">
        <v>362</v>
      </c>
    </row>
    <row r="379" spans="1:12" s="101" customFormat="1" ht="15">
      <c r="A379" s="48">
        <v>137</v>
      </c>
      <c r="B379" s="84" t="s">
        <v>292</v>
      </c>
      <c r="C379" s="49" t="s">
        <v>325</v>
      </c>
      <c r="D379" s="17">
        <v>0.51</v>
      </c>
      <c r="E379" s="13">
        <v>0.6</v>
      </c>
      <c r="F379" s="48">
        <v>120</v>
      </c>
      <c r="G379" s="17">
        <f t="shared" si="24"/>
        <v>-0.08999999999999997</v>
      </c>
      <c r="H379" s="48">
        <v>0</v>
      </c>
      <c r="I379" s="17">
        <f>1.05*2.5</f>
        <v>2.625</v>
      </c>
      <c r="J379" s="17">
        <f t="shared" si="25"/>
        <v>2.715</v>
      </c>
      <c r="K379" s="17">
        <f t="shared" si="26"/>
        <v>2.715</v>
      </c>
      <c r="L379" s="23" t="s">
        <v>362</v>
      </c>
    </row>
    <row r="380" spans="1:12" s="101" customFormat="1" ht="15">
      <c r="A380" s="48">
        <v>138</v>
      </c>
      <c r="B380" s="84" t="s">
        <v>293</v>
      </c>
      <c r="C380" s="49" t="s">
        <v>335</v>
      </c>
      <c r="D380" s="17">
        <v>1.31</v>
      </c>
      <c r="E380" s="13">
        <v>0.05</v>
      </c>
      <c r="F380" s="48">
        <v>10</v>
      </c>
      <c r="G380" s="17">
        <f t="shared" si="24"/>
        <v>1.26</v>
      </c>
      <c r="H380" s="48">
        <v>0</v>
      </c>
      <c r="I380" s="17">
        <f>1.05*4</f>
        <v>4.2</v>
      </c>
      <c r="J380" s="17">
        <f t="shared" si="25"/>
        <v>2.9400000000000004</v>
      </c>
      <c r="K380" s="17">
        <f t="shared" si="26"/>
        <v>2.9400000000000004</v>
      </c>
      <c r="L380" s="23" t="s">
        <v>362</v>
      </c>
    </row>
    <row r="381" spans="1:12" s="101" customFormat="1" ht="15">
      <c r="A381" s="48">
        <v>139</v>
      </c>
      <c r="B381" s="84" t="s">
        <v>294</v>
      </c>
      <c r="C381" s="49" t="s">
        <v>345</v>
      </c>
      <c r="D381" s="17">
        <v>1.03</v>
      </c>
      <c r="E381" s="13">
        <v>0.08</v>
      </c>
      <c r="F381" s="48">
        <v>10</v>
      </c>
      <c r="G381" s="17">
        <f t="shared" si="24"/>
        <v>0.9500000000000001</v>
      </c>
      <c r="H381" s="48">
        <v>0</v>
      </c>
      <c r="I381" s="17">
        <f>1.05*1.6</f>
        <v>1.6800000000000002</v>
      </c>
      <c r="J381" s="17">
        <f t="shared" si="25"/>
        <v>0.7300000000000001</v>
      </c>
      <c r="K381" s="17">
        <f t="shared" si="26"/>
        <v>0.7300000000000001</v>
      </c>
      <c r="L381" s="23" t="s">
        <v>362</v>
      </c>
    </row>
    <row r="382" spans="1:12" s="101" customFormat="1" ht="15">
      <c r="A382" s="48">
        <v>140</v>
      </c>
      <c r="B382" s="84" t="s">
        <v>295</v>
      </c>
      <c r="C382" s="49" t="s">
        <v>341</v>
      </c>
      <c r="D382" s="17">
        <v>0.77</v>
      </c>
      <c r="E382" s="13">
        <v>0.69</v>
      </c>
      <c r="F382" s="48">
        <v>120</v>
      </c>
      <c r="G382" s="17">
        <f t="shared" si="24"/>
        <v>0.08000000000000007</v>
      </c>
      <c r="H382" s="48">
        <v>0</v>
      </c>
      <c r="I382" s="17">
        <f>1.05*3.2</f>
        <v>3.3600000000000003</v>
      </c>
      <c r="J382" s="17">
        <f t="shared" si="25"/>
        <v>3.2800000000000002</v>
      </c>
      <c r="K382" s="17">
        <f t="shared" si="26"/>
        <v>3.2800000000000002</v>
      </c>
      <c r="L382" s="23" t="s">
        <v>362</v>
      </c>
    </row>
    <row r="383" spans="1:12" s="101" customFormat="1" ht="15">
      <c r="A383" s="48">
        <v>141</v>
      </c>
      <c r="B383" s="84" t="s">
        <v>296</v>
      </c>
      <c r="C383" s="49" t="s">
        <v>325</v>
      </c>
      <c r="D383" s="17">
        <v>0.65</v>
      </c>
      <c r="E383" s="13">
        <v>0.58</v>
      </c>
      <c r="F383" s="48">
        <v>80</v>
      </c>
      <c r="G383" s="17">
        <f t="shared" si="24"/>
        <v>0.07000000000000006</v>
      </c>
      <c r="H383" s="48">
        <v>0</v>
      </c>
      <c r="I383" s="17">
        <f>1.05*2.5</f>
        <v>2.625</v>
      </c>
      <c r="J383" s="17">
        <f t="shared" si="25"/>
        <v>2.5549999999999997</v>
      </c>
      <c r="K383" s="17">
        <f t="shared" si="26"/>
        <v>2.5549999999999997</v>
      </c>
      <c r="L383" s="23" t="s">
        <v>362</v>
      </c>
    </row>
    <row r="384" spans="1:12" s="101" customFormat="1" ht="15">
      <c r="A384" s="48">
        <v>142</v>
      </c>
      <c r="B384" s="84" t="s">
        <v>297</v>
      </c>
      <c r="C384" s="49" t="s">
        <v>339</v>
      </c>
      <c r="D384" s="17">
        <v>0.2</v>
      </c>
      <c r="E384" s="13">
        <v>0.2</v>
      </c>
      <c r="F384" s="48">
        <v>80</v>
      </c>
      <c r="G384" s="17">
        <f t="shared" si="24"/>
        <v>0</v>
      </c>
      <c r="H384" s="48">
        <v>0</v>
      </c>
      <c r="I384" s="17">
        <f>1.05*1.6</f>
        <v>1.6800000000000002</v>
      </c>
      <c r="J384" s="17">
        <f t="shared" si="25"/>
        <v>1.6800000000000002</v>
      </c>
      <c r="K384" s="17">
        <f t="shared" si="26"/>
        <v>1.6800000000000002</v>
      </c>
      <c r="L384" s="23" t="s">
        <v>362</v>
      </c>
    </row>
    <row r="385" spans="1:12" s="101" customFormat="1" ht="15">
      <c r="A385" s="48">
        <v>143</v>
      </c>
      <c r="B385" s="84" t="s">
        <v>298</v>
      </c>
      <c r="C385" s="49" t="s">
        <v>339</v>
      </c>
      <c r="D385" s="59">
        <v>0.24</v>
      </c>
      <c r="E385" s="13">
        <v>0.2</v>
      </c>
      <c r="F385" s="48">
        <v>120</v>
      </c>
      <c r="G385" s="17">
        <f t="shared" si="24"/>
        <v>0.03999999999999998</v>
      </c>
      <c r="H385" s="48">
        <v>0</v>
      </c>
      <c r="I385" s="17">
        <f>1.05*1.6</f>
        <v>1.6800000000000002</v>
      </c>
      <c r="J385" s="17">
        <f t="shared" si="25"/>
        <v>1.6400000000000001</v>
      </c>
      <c r="K385" s="17">
        <f t="shared" si="26"/>
        <v>1.6400000000000001</v>
      </c>
      <c r="L385" s="23" t="s">
        <v>362</v>
      </c>
    </row>
    <row r="386" spans="1:12" s="101" customFormat="1" ht="15">
      <c r="A386" s="48">
        <v>144</v>
      </c>
      <c r="B386" s="84" t="s">
        <v>299</v>
      </c>
      <c r="C386" s="49" t="s">
        <v>335</v>
      </c>
      <c r="D386" s="17">
        <v>2.02</v>
      </c>
      <c r="E386" s="13">
        <v>1.08</v>
      </c>
      <c r="F386" s="48">
        <v>45</v>
      </c>
      <c r="G386" s="17">
        <f t="shared" si="24"/>
        <v>0.94</v>
      </c>
      <c r="H386" s="48">
        <v>0</v>
      </c>
      <c r="I386" s="17">
        <f>1.05*4</f>
        <v>4.2</v>
      </c>
      <c r="J386" s="17">
        <f t="shared" si="25"/>
        <v>3.2600000000000002</v>
      </c>
      <c r="K386" s="17">
        <f t="shared" si="26"/>
        <v>3.2600000000000002</v>
      </c>
      <c r="L386" s="23" t="s">
        <v>362</v>
      </c>
    </row>
    <row r="387" spans="1:12" s="101" customFormat="1" ht="15">
      <c r="A387" s="48">
        <v>145</v>
      </c>
      <c r="B387" s="84" t="s">
        <v>300</v>
      </c>
      <c r="C387" s="49" t="s">
        <v>325</v>
      </c>
      <c r="D387" s="17">
        <v>0.44</v>
      </c>
      <c r="E387" s="13">
        <v>0.6</v>
      </c>
      <c r="F387" s="48">
        <v>120</v>
      </c>
      <c r="G387" s="17">
        <f t="shared" si="24"/>
        <v>-0.15999999999999998</v>
      </c>
      <c r="H387" s="48">
        <v>0</v>
      </c>
      <c r="I387" s="17">
        <f>1.05*2.5</f>
        <v>2.625</v>
      </c>
      <c r="J387" s="17">
        <f t="shared" si="25"/>
        <v>2.785</v>
      </c>
      <c r="K387" s="17">
        <f t="shared" si="26"/>
        <v>2.785</v>
      </c>
      <c r="L387" s="23" t="s">
        <v>362</v>
      </c>
    </row>
    <row r="388" spans="1:12" s="101" customFormat="1" ht="15">
      <c r="A388" s="48">
        <v>146</v>
      </c>
      <c r="B388" s="84" t="s">
        <v>301</v>
      </c>
      <c r="C388" s="49" t="s">
        <v>325</v>
      </c>
      <c r="D388" s="17">
        <v>1.11</v>
      </c>
      <c r="E388" s="13">
        <v>1</v>
      </c>
      <c r="F388" s="48">
        <v>80</v>
      </c>
      <c r="G388" s="17">
        <f t="shared" si="24"/>
        <v>0.1100000000000001</v>
      </c>
      <c r="H388" s="48">
        <v>0</v>
      </c>
      <c r="I388" s="17">
        <f>1.05*2.5</f>
        <v>2.625</v>
      </c>
      <c r="J388" s="17">
        <f t="shared" si="25"/>
        <v>2.5149999999999997</v>
      </c>
      <c r="K388" s="17">
        <f t="shared" si="26"/>
        <v>2.5149999999999997</v>
      </c>
      <c r="L388" s="23" t="s">
        <v>362</v>
      </c>
    </row>
    <row r="389" spans="1:12" s="101" customFormat="1" ht="15">
      <c r="A389" s="48">
        <v>147</v>
      </c>
      <c r="B389" s="84" t="s">
        <v>302</v>
      </c>
      <c r="C389" s="49" t="s">
        <v>397</v>
      </c>
      <c r="D389" s="17">
        <v>22.44</v>
      </c>
      <c r="E389" s="13">
        <v>5</v>
      </c>
      <c r="F389" s="48" t="s">
        <v>365</v>
      </c>
      <c r="G389" s="17">
        <f t="shared" si="24"/>
        <v>17.44</v>
      </c>
      <c r="H389" s="48">
        <v>0</v>
      </c>
      <c r="I389" s="17">
        <f>1.05*40</f>
        <v>42</v>
      </c>
      <c r="J389" s="17">
        <f t="shared" si="25"/>
        <v>24.56</v>
      </c>
      <c r="K389" s="17">
        <f t="shared" si="26"/>
        <v>24.56</v>
      </c>
      <c r="L389" s="23" t="s">
        <v>362</v>
      </c>
    </row>
    <row r="390" spans="1:12" s="101" customFormat="1" ht="15">
      <c r="A390" s="48">
        <v>148</v>
      </c>
      <c r="B390" s="84" t="s">
        <v>303</v>
      </c>
      <c r="C390" s="49" t="s">
        <v>325</v>
      </c>
      <c r="D390" s="17">
        <v>0.2</v>
      </c>
      <c r="E390" s="13">
        <v>0.5</v>
      </c>
      <c r="F390" s="48">
        <v>120</v>
      </c>
      <c r="G390" s="17">
        <f t="shared" si="24"/>
        <v>-0.3</v>
      </c>
      <c r="H390" s="48">
        <v>0</v>
      </c>
      <c r="I390" s="17">
        <f>1.05*2.5</f>
        <v>2.625</v>
      </c>
      <c r="J390" s="17">
        <f t="shared" si="25"/>
        <v>2.925</v>
      </c>
      <c r="K390" s="17">
        <f t="shared" si="26"/>
        <v>2.925</v>
      </c>
      <c r="L390" s="23" t="s">
        <v>362</v>
      </c>
    </row>
    <row r="391" spans="1:12" s="101" customFormat="1" ht="15">
      <c r="A391" s="48">
        <v>149</v>
      </c>
      <c r="B391" s="84" t="s">
        <v>304</v>
      </c>
      <c r="C391" s="49" t="s">
        <v>337</v>
      </c>
      <c r="D391" s="17">
        <v>0.38</v>
      </c>
      <c r="E391" s="13">
        <v>0.21</v>
      </c>
      <c r="F391" s="48">
        <v>80</v>
      </c>
      <c r="G391" s="17">
        <f t="shared" si="24"/>
        <v>0.17</v>
      </c>
      <c r="H391" s="48">
        <v>0</v>
      </c>
      <c r="I391" s="17">
        <f>1.05*2.5</f>
        <v>2.625</v>
      </c>
      <c r="J391" s="17">
        <f t="shared" si="25"/>
        <v>2.455</v>
      </c>
      <c r="K391" s="17">
        <f t="shared" si="26"/>
        <v>2.455</v>
      </c>
      <c r="L391" s="23" t="s">
        <v>362</v>
      </c>
    </row>
    <row r="392" spans="1:12" s="101" customFormat="1" ht="15">
      <c r="A392" s="48">
        <v>150</v>
      </c>
      <c r="B392" s="84" t="s">
        <v>305</v>
      </c>
      <c r="C392" s="49" t="s">
        <v>325</v>
      </c>
      <c r="D392" s="17">
        <v>0.2</v>
      </c>
      <c r="E392" s="13">
        <v>0.3</v>
      </c>
      <c r="F392" s="48">
        <v>120</v>
      </c>
      <c r="G392" s="17">
        <f t="shared" si="24"/>
        <v>-0.09999999999999998</v>
      </c>
      <c r="H392" s="48">
        <v>0</v>
      </c>
      <c r="I392" s="17">
        <f>1.05*2.5</f>
        <v>2.625</v>
      </c>
      <c r="J392" s="17">
        <f t="shared" si="25"/>
        <v>2.725</v>
      </c>
      <c r="K392" s="17">
        <f t="shared" si="26"/>
        <v>2.725</v>
      </c>
      <c r="L392" s="23" t="s">
        <v>362</v>
      </c>
    </row>
    <row r="393" spans="1:12" s="101" customFormat="1" ht="15">
      <c r="A393" s="48">
        <v>151</v>
      </c>
      <c r="B393" s="84" t="s">
        <v>306</v>
      </c>
      <c r="C393" s="49" t="s">
        <v>342</v>
      </c>
      <c r="D393" s="59">
        <v>1.53</v>
      </c>
      <c r="E393" s="13">
        <v>0.6</v>
      </c>
      <c r="F393" s="48">
        <v>120</v>
      </c>
      <c r="G393" s="17">
        <f t="shared" si="24"/>
        <v>0.93</v>
      </c>
      <c r="H393" s="48">
        <v>0</v>
      </c>
      <c r="I393" s="17">
        <f>1.05*4</f>
        <v>4.2</v>
      </c>
      <c r="J393" s="17">
        <f t="shared" si="25"/>
        <v>3.27</v>
      </c>
      <c r="K393" s="17">
        <f t="shared" si="26"/>
        <v>3.27</v>
      </c>
      <c r="L393" s="23" t="s">
        <v>362</v>
      </c>
    </row>
    <row r="394" spans="1:12" s="101" customFormat="1" ht="15">
      <c r="A394" s="48">
        <v>152</v>
      </c>
      <c r="B394" s="84" t="s">
        <v>307</v>
      </c>
      <c r="C394" s="49" t="s">
        <v>329</v>
      </c>
      <c r="D394" s="17">
        <v>8.43</v>
      </c>
      <c r="E394" s="13">
        <v>4.7</v>
      </c>
      <c r="F394" s="48">
        <v>80</v>
      </c>
      <c r="G394" s="17">
        <f t="shared" si="24"/>
        <v>3.7299999999999995</v>
      </c>
      <c r="H394" s="48">
        <v>0</v>
      </c>
      <c r="I394" s="17">
        <f>1.05*10</f>
        <v>10.5</v>
      </c>
      <c r="J394" s="17">
        <f t="shared" si="25"/>
        <v>6.7700000000000005</v>
      </c>
      <c r="K394" s="17">
        <f>J394</f>
        <v>6.7700000000000005</v>
      </c>
      <c r="L394" s="23" t="s">
        <v>362</v>
      </c>
    </row>
    <row r="395" spans="1:12" s="101" customFormat="1" ht="15">
      <c r="A395" s="48">
        <v>153</v>
      </c>
      <c r="B395" s="84" t="s">
        <v>358</v>
      </c>
      <c r="C395" s="49" t="s">
        <v>325</v>
      </c>
      <c r="D395" s="17">
        <v>2.46</v>
      </c>
      <c r="E395" s="13">
        <v>3.9</v>
      </c>
      <c r="F395" s="48">
        <v>120</v>
      </c>
      <c r="G395" s="17">
        <f t="shared" si="24"/>
        <v>-1.44</v>
      </c>
      <c r="H395" s="48">
        <v>0</v>
      </c>
      <c r="I395" s="17">
        <f>1.05*2.5</f>
        <v>2.625</v>
      </c>
      <c r="J395" s="17">
        <f t="shared" si="25"/>
        <v>4.0649999999999995</v>
      </c>
      <c r="K395" s="17">
        <f>J395</f>
        <v>4.0649999999999995</v>
      </c>
      <c r="L395" s="23" t="s">
        <v>362</v>
      </c>
    </row>
    <row r="396" spans="1:12" s="101" customFormat="1" ht="15">
      <c r="A396" s="48">
        <v>154</v>
      </c>
      <c r="B396" s="79" t="s">
        <v>404</v>
      </c>
      <c r="C396" s="49" t="s">
        <v>405</v>
      </c>
      <c r="D396" s="17">
        <v>4.2</v>
      </c>
      <c r="E396" s="13">
        <v>20.2</v>
      </c>
      <c r="F396" s="14">
        <v>120</v>
      </c>
      <c r="G396" s="13">
        <f t="shared" si="24"/>
        <v>-16</v>
      </c>
      <c r="H396" s="14">
        <v>0</v>
      </c>
      <c r="I396" s="13">
        <f>1.05*25</f>
        <v>26.25</v>
      </c>
      <c r="J396" s="13">
        <f t="shared" si="25"/>
        <v>42.25</v>
      </c>
      <c r="K396" s="13">
        <f>J396</f>
        <v>42.25</v>
      </c>
      <c r="L396" s="23" t="s">
        <v>362</v>
      </c>
    </row>
    <row r="397" spans="1:12" s="101" customFormat="1" ht="15">
      <c r="A397" s="283"/>
      <c r="B397" s="107" t="s">
        <v>353</v>
      </c>
      <c r="C397" s="108">
        <v>3292.8</v>
      </c>
      <c r="D397" s="108">
        <v>792.57</v>
      </c>
      <c r="E397" s="108">
        <v>798.66</v>
      </c>
      <c r="F397" s="108"/>
      <c r="G397" s="108"/>
      <c r="H397" s="108"/>
      <c r="I397" s="108"/>
      <c r="J397" s="108"/>
      <c r="K397" s="108">
        <f>K399+7.48</f>
        <v>1229.52</v>
      </c>
      <c r="L397" s="109"/>
    </row>
    <row r="398" spans="1:12" s="101" customFormat="1" ht="15">
      <c r="A398" s="283"/>
      <c r="B398" s="107" t="s">
        <v>11</v>
      </c>
      <c r="C398" s="108"/>
      <c r="D398" s="108"/>
      <c r="E398" s="108"/>
      <c r="F398" s="108"/>
      <c r="G398" s="108"/>
      <c r="H398" s="108"/>
      <c r="I398" s="108"/>
      <c r="J398" s="108"/>
      <c r="K398" s="108">
        <f>K168+K186</f>
        <v>-7.4750000000000005</v>
      </c>
      <c r="L398" s="110"/>
    </row>
    <row r="399" spans="1:12" s="101" customFormat="1" ht="15">
      <c r="A399" s="283"/>
      <c r="B399" s="107" t="s">
        <v>12</v>
      </c>
      <c r="C399" s="108"/>
      <c r="D399" s="108"/>
      <c r="E399" s="108"/>
      <c r="F399" s="108"/>
      <c r="G399" s="108"/>
      <c r="H399" s="108"/>
      <c r="I399" s="108"/>
      <c r="J399" s="108"/>
      <c r="K399" s="108">
        <f>SUM(K9:K147)+SUM(K149:K167)+SUM(K169:K185)+SUM(K189:K395)</f>
        <v>1222.04</v>
      </c>
      <c r="L399" s="111"/>
    </row>
    <row r="400" spans="1:12" s="101" customFormat="1" ht="15">
      <c r="A400" s="103"/>
      <c r="B400" s="53"/>
      <c r="C400" s="53"/>
      <c r="D400" s="58"/>
      <c r="E400" s="58"/>
      <c r="F400" s="58"/>
      <c r="G400" s="53"/>
      <c r="H400" s="104"/>
      <c r="I400" s="58"/>
      <c r="J400" s="58"/>
      <c r="K400" s="58"/>
      <c r="L400" s="64"/>
    </row>
    <row r="401" spans="1:12" s="101" customFormat="1" ht="15">
      <c r="A401" s="105"/>
      <c r="B401" s="55" t="s">
        <v>374</v>
      </c>
      <c r="C401" s="55"/>
      <c r="D401" s="64"/>
      <c r="E401" s="64"/>
      <c r="F401" s="64"/>
      <c r="G401" s="55"/>
      <c r="H401" s="106"/>
      <c r="I401" s="64"/>
      <c r="J401" s="64"/>
      <c r="K401" s="64"/>
      <c r="L401" s="64"/>
    </row>
    <row r="402" spans="1:12" s="101" customFormat="1" ht="15">
      <c r="A402" s="105"/>
      <c r="B402" s="55" t="s">
        <v>375</v>
      </c>
      <c r="C402" s="55"/>
      <c r="D402" s="64"/>
      <c r="E402" s="64"/>
      <c r="F402" s="64"/>
      <c r="G402" s="55"/>
      <c r="H402" s="106"/>
      <c r="I402" s="64"/>
      <c r="J402" s="64"/>
      <c r="K402" s="64"/>
      <c r="L402" s="64"/>
    </row>
    <row r="403" spans="1:12" s="101" customFormat="1" ht="15">
      <c r="A403" s="105"/>
      <c r="B403" s="55"/>
      <c r="C403" s="55"/>
      <c r="D403" s="64"/>
      <c r="E403" s="64"/>
      <c r="F403" s="64"/>
      <c r="G403" s="55"/>
      <c r="H403" s="106"/>
      <c r="I403" s="64"/>
      <c r="J403" s="64"/>
      <c r="K403" s="64"/>
      <c r="L403" s="64"/>
    </row>
    <row r="404" spans="1:12" s="101" customFormat="1" ht="15">
      <c r="A404" s="105"/>
      <c r="B404" s="55"/>
      <c r="C404" s="65" t="s">
        <v>376</v>
      </c>
      <c r="D404" s="66"/>
      <c r="E404" s="66"/>
      <c r="F404" s="66"/>
      <c r="G404" s="65"/>
      <c r="H404" s="67"/>
      <c r="I404" s="66"/>
      <c r="J404" s="66"/>
      <c r="K404" s="64"/>
      <c r="L404" s="64"/>
    </row>
    <row r="405" spans="1:12" s="101" customFormat="1" ht="15">
      <c r="A405" s="105"/>
      <c r="B405" s="55"/>
      <c r="C405" s="65" t="s">
        <v>377</v>
      </c>
      <c r="D405" s="66"/>
      <c r="E405" s="66"/>
      <c r="F405" s="66"/>
      <c r="G405" s="65"/>
      <c r="H405" s="67"/>
      <c r="I405" s="66"/>
      <c r="J405" s="66" t="s">
        <v>378</v>
      </c>
      <c r="K405" s="64"/>
      <c r="L405" s="55"/>
    </row>
    <row r="406" spans="1:12" s="101" customFormat="1" ht="15">
      <c r="A406" s="105"/>
      <c r="B406" s="55"/>
      <c r="C406" s="55"/>
      <c r="D406" s="64"/>
      <c r="E406" s="64"/>
      <c r="F406" s="64"/>
      <c r="G406" s="55"/>
      <c r="H406" s="106"/>
      <c r="I406" s="64"/>
      <c r="J406" s="64"/>
      <c r="K406" s="64"/>
      <c r="L406" s="55"/>
    </row>
    <row r="407" spans="1:12" s="101" customFormat="1" ht="15">
      <c r="A407" s="105"/>
      <c r="B407" s="55"/>
      <c r="C407" s="55"/>
      <c r="D407" s="64"/>
      <c r="E407" s="64"/>
      <c r="F407" s="64"/>
      <c r="G407" s="55"/>
      <c r="H407" s="106"/>
      <c r="I407" s="64"/>
      <c r="J407" s="64"/>
      <c r="K407" s="64"/>
      <c r="L407" s="55"/>
    </row>
    <row r="408" spans="1:12" s="101" customFormat="1" ht="15">
      <c r="A408" s="105"/>
      <c r="B408" s="55"/>
      <c r="C408" s="55"/>
      <c r="D408" s="64"/>
      <c r="E408" s="64"/>
      <c r="F408" s="64"/>
      <c r="G408" s="55"/>
      <c r="H408" s="106"/>
      <c r="I408" s="64"/>
      <c r="J408" s="64"/>
      <c r="K408" s="64"/>
      <c r="L408" s="55"/>
    </row>
    <row r="409" spans="1:12" s="101" customFormat="1" ht="15">
      <c r="A409" s="105"/>
      <c r="B409" s="55"/>
      <c r="C409" s="55"/>
      <c r="D409" s="64"/>
      <c r="E409" s="64"/>
      <c r="F409" s="64"/>
      <c r="G409" s="55"/>
      <c r="H409" s="106"/>
      <c r="I409" s="64"/>
      <c r="J409" s="64"/>
      <c r="K409" s="64"/>
      <c r="L409" s="55"/>
    </row>
    <row r="410" spans="1:12" s="101" customFormat="1" ht="15">
      <c r="A410" s="105"/>
      <c r="B410" s="55"/>
      <c r="C410" s="55"/>
      <c r="D410" s="64"/>
      <c r="E410" s="64"/>
      <c r="F410" s="64"/>
      <c r="G410" s="55"/>
      <c r="H410" s="106"/>
      <c r="I410" s="64"/>
      <c r="J410" s="64"/>
      <c r="K410" s="64"/>
      <c r="L410" s="55"/>
    </row>
    <row r="411" spans="1:12" s="101" customFormat="1" ht="15">
      <c r="A411" s="105"/>
      <c r="B411" s="55"/>
      <c r="C411" s="55"/>
      <c r="D411" s="64"/>
      <c r="E411" s="64"/>
      <c r="F411" s="64"/>
      <c r="G411" s="55"/>
      <c r="H411" s="106"/>
      <c r="I411" s="64"/>
      <c r="J411" s="64"/>
      <c r="K411" s="64"/>
      <c r="L411" s="55"/>
    </row>
    <row r="412" spans="1:12" s="101" customFormat="1" ht="15">
      <c r="A412" s="105"/>
      <c r="B412" s="55"/>
      <c r="C412" s="55"/>
      <c r="D412" s="64"/>
      <c r="E412" s="64"/>
      <c r="F412" s="64"/>
      <c r="G412" s="55"/>
      <c r="H412" s="106"/>
      <c r="I412" s="64"/>
      <c r="J412" s="64"/>
      <c r="K412" s="64"/>
      <c r="L412" s="55"/>
    </row>
    <row r="413" spans="1:12" s="101" customFormat="1" ht="15">
      <c r="A413" s="105"/>
      <c r="B413" s="55"/>
      <c r="C413" s="55"/>
      <c r="D413" s="64"/>
      <c r="E413" s="64"/>
      <c r="F413" s="64"/>
      <c r="G413" s="55"/>
      <c r="H413" s="106"/>
      <c r="I413" s="64"/>
      <c r="J413" s="64"/>
      <c r="K413" s="64"/>
      <c r="L413" s="55"/>
    </row>
    <row r="414" spans="1:12" s="101" customFormat="1" ht="15">
      <c r="A414" s="105"/>
      <c r="B414" s="55"/>
      <c r="C414" s="55"/>
      <c r="D414" s="64"/>
      <c r="E414" s="64"/>
      <c r="F414" s="64"/>
      <c r="G414" s="55"/>
      <c r="H414" s="106"/>
      <c r="I414" s="64"/>
      <c r="J414" s="64"/>
      <c r="K414" s="64"/>
      <c r="L414" s="55"/>
    </row>
    <row r="415" spans="1:12" s="101" customFormat="1" ht="15">
      <c r="A415" s="105"/>
      <c r="B415" s="55"/>
      <c r="C415" s="55"/>
      <c r="D415" s="64"/>
      <c r="E415" s="64"/>
      <c r="F415" s="64"/>
      <c r="G415" s="55"/>
      <c r="H415" s="106"/>
      <c r="I415" s="64"/>
      <c r="J415" s="64"/>
      <c r="K415" s="64"/>
      <c r="L415" s="55"/>
    </row>
    <row r="416" spans="1:12" s="101" customFormat="1" ht="15">
      <c r="A416" s="105"/>
      <c r="B416" s="55"/>
      <c r="C416" s="55"/>
      <c r="D416" s="64"/>
      <c r="E416" s="64"/>
      <c r="F416" s="64"/>
      <c r="G416" s="55"/>
      <c r="H416" s="106"/>
      <c r="I416" s="64"/>
      <c r="J416" s="64"/>
      <c r="K416" s="64"/>
      <c r="L416" s="55"/>
    </row>
    <row r="417" spans="1:12" s="101" customFormat="1" ht="15">
      <c r="A417" s="105"/>
      <c r="B417" s="55"/>
      <c r="C417" s="55"/>
      <c r="D417" s="64"/>
      <c r="E417" s="64"/>
      <c r="F417" s="64"/>
      <c r="G417" s="55"/>
      <c r="H417" s="106"/>
      <c r="I417" s="64"/>
      <c r="J417" s="64"/>
      <c r="K417" s="64"/>
      <c r="L417" s="55"/>
    </row>
    <row r="418" spans="1:12" s="101" customFormat="1" ht="15">
      <c r="A418" s="105"/>
      <c r="B418" s="55"/>
      <c r="C418" s="55"/>
      <c r="D418" s="64"/>
      <c r="E418" s="64"/>
      <c r="F418" s="64"/>
      <c r="G418" s="55"/>
      <c r="H418" s="106"/>
      <c r="I418" s="64"/>
      <c r="J418" s="64"/>
      <c r="K418" s="64"/>
      <c r="L418" s="55"/>
    </row>
    <row r="419" spans="1:12" s="101" customFormat="1" ht="15">
      <c r="A419" s="105"/>
      <c r="B419" s="55"/>
      <c r="C419" s="55"/>
      <c r="D419" s="64"/>
      <c r="E419" s="64"/>
      <c r="F419" s="64"/>
      <c r="G419" s="55"/>
      <c r="H419" s="106"/>
      <c r="I419" s="64"/>
      <c r="J419" s="64"/>
      <c r="K419" s="64"/>
      <c r="L419" s="55"/>
    </row>
    <row r="420" spans="1:12" s="101" customFormat="1" ht="15">
      <c r="A420" s="105"/>
      <c r="B420" s="55"/>
      <c r="C420" s="55"/>
      <c r="D420" s="64"/>
      <c r="E420" s="64"/>
      <c r="F420" s="64"/>
      <c r="G420" s="55"/>
      <c r="H420" s="106"/>
      <c r="I420" s="64"/>
      <c r="J420" s="64"/>
      <c r="K420" s="64"/>
      <c r="L420" s="55"/>
    </row>
    <row r="421" spans="1:12" s="101" customFormat="1" ht="15">
      <c r="A421" s="105"/>
      <c r="B421" s="55"/>
      <c r="C421" s="55"/>
      <c r="D421" s="64"/>
      <c r="E421" s="64"/>
      <c r="F421" s="64"/>
      <c r="G421" s="55"/>
      <c r="H421" s="106"/>
      <c r="I421" s="64"/>
      <c r="J421" s="64"/>
      <c r="K421" s="64"/>
      <c r="L421" s="55"/>
    </row>
    <row r="422" spans="1:12" s="101" customFormat="1" ht="15">
      <c r="A422" s="105"/>
      <c r="B422" s="55"/>
      <c r="C422" s="55"/>
      <c r="D422" s="64"/>
      <c r="E422" s="64"/>
      <c r="F422" s="64"/>
      <c r="G422" s="55"/>
      <c r="H422" s="106"/>
      <c r="I422" s="64"/>
      <c r="J422" s="64"/>
      <c r="K422" s="64"/>
      <c r="L422" s="55"/>
    </row>
    <row r="423" spans="1:12" s="101" customFormat="1" ht="15">
      <c r="A423" s="105"/>
      <c r="B423" s="55"/>
      <c r="C423" s="55"/>
      <c r="D423" s="64"/>
      <c r="E423" s="64"/>
      <c r="F423" s="64"/>
      <c r="G423" s="55"/>
      <c r="H423" s="106"/>
      <c r="I423" s="64"/>
      <c r="J423" s="64"/>
      <c r="K423" s="64"/>
      <c r="L423" s="55"/>
    </row>
    <row r="424" spans="1:12" s="101" customFormat="1" ht="15">
      <c r="A424" s="105"/>
      <c r="B424" s="55"/>
      <c r="C424" s="55"/>
      <c r="D424" s="64"/>
      <c r="E424" s="64"/>
      <c r="F424" s="64"/>
      <c r="G424" s="55"/>
      <c r="H424" s="106"/>
      <c r="I424" s="64"/>
      <c r="J424" s="64"/>
      <c r="K424" s="64"/>
      <c r="L424" s="55"/>
    </row>
    <row r="425" spans="1:12" s="101" customFormat="1" ht="15">
      <c r="A425" s="105"/>
      <c r="B425" s="55"/>
      <c r="C425" s="55"/>
      <c r="D425" s="64"/>
      <c r="E425" s="64"/>
      <c r="F425" s="64"/>
      <c r="G425" s="55"/>
      <c r="H425" s="106"/>
      <c r="I425" s="64"/>
      <c r="J425" s="64"/>
      <c r="K425" s="64"/>
      <c r="L425" s="55"/>
    </row>
    <row r="426" spans="1:12" s="101" customFormat="1" ht="15">
      <c r="A426" s="105"/>
      <c r="B426" s="55"/>
      <c r="C426" s="55"/>
      <c r="D426" s="64"/>
      <c r="E426" s="64"/>
      <c r="F426" s="64"/>
      <c r="G426" s="55"/>
      <c r="H426" s="106"/>
      <c r="I426" s="64"/>
      <c r="J426" s="64"/>
      <c r="K426" s="64"/>
      <c r="L426" s="55"/>
    </row>
    <row r="427" spans="1:12" s="101" customFormat="1" ht="15">
      <c r="A427" s="105"/>
      <c r="B427" s="55"/>
      <c r="C427" s="55"/>
      <c r="D427" s="64"/>
      <c r="E427" s="64"/>
      <c r="F427" s="64"/>
      <c r="G427" s="55"/>
      <c r="H427" s="106"/>
      <c r="I427" s="64"/>
      <c r="J427" s="64"/>
      <c r="K427" s="64"/>
      <c r="L427" s="55"/>
    </row>
    <row r="428" spans="1:12" s="101" customFormat="1" ht="15">
      <c r="A428" s="105"/>
      <c r="B428" s="55"/>
      <c r="C428" s="55"/>
      <c r="D428" s="64"/>
      <c r="E428" s="64"/>
      <c r="F428" s="64"/>
      <c r="G428" s="55"/>
      <c r="H428" s="106"/>
      <c r="I428" s="64"/>
      <c r="J428" s="64"/>
      <c r="K428" s="64"/>
      <c r="L428" s="55"/>
    </row>
    <row r="429" spans="1:12" s="101" customFormat="1" ht="15">
      <c r="A429" s="105"/>
      <c r="B429" s="55"/>
      <c r="C429" s="55"/>
      <c r="D429" s="64"/>
      <c r="E429" s="64"/>
      <c r="F429" s="64"/>
      <c r="G429" s="55"/>
      <c r="H429" s="106"/>
      <c r="I429" s="64"/>
      <c r="J429" s="64"/>
      <c r="K429" s="64"/>
      <c r="L429" s="55"/>
    </row>
    <row r="430" spans="1:12" s="101" customFormat="1" ht="15">
      <c r="A430" s="105"/>
      <c r="B430" s="55"/>
      <c r="C430" s="55"/>
      <c r="D430" s="64"/>
      <c r="E430" s="64"/>
      <c r="F430" s="64"/>
      <c r="G430" s="55"/>
      <c r="H430" s="106"/>
      <c r="I430" s="64"/>
      <c r="J430" s="64"/>
      <c r="K430" s="64"/>
      <c r="L430" s="55"/>
    </row>
    <row r="431" spans="1:12" s="101" customFormat="1" ht="15">
      <c r="A431" s="105"/>
      <c r="B431" s="55"/>
      <c r="C431" s="55"/>
      <c r="D431" s="64"/>
      <c r="E431" s="64"/>
      <c r="F431" s="64"/>
      <c r="G431" s="55"/>
      <c r="H431" s="106"/>
      <c r="I431" s="64"/>
      <c r="J431" s="64"/>
      <c r="K431" s="64"/>
      <c r="L431" s="55"/>
    </row>
    <row r="432" spans="1:12" s="101" customFormat="1" ht="15">
      <c r="A432" s="105"/>
      <c r="B432" s="55"/>
      <c r="C432" s="55"/>
      <c r="D432" s="64"/>
      <c r="E432" s="64"/>
      <c r="F432" s="64"/>
      <c r="G432" s="55"/>
      <c r="H432" s="106"/>
      <c r="I432" s="64"/>
      <c r="J432" s="64"/>
      <c r="K432" s="64"/>
      <c r="L432" s="55"/>
    </row>
    <row r="433" spans="1:12" s="101" customFormat="1" ht="15">
      <c r="A433" s="105"/>
      <c r="B433" s="55"/>
      <c r="C433" s="55"/>
      <c r="D433" s="64"/>
      <c r="E433" s="64"/>
      <c r="F433" s="64"/>
      <c r="G433" s="55"/>
      <c r="H433" s="106"/>
      <c r="I433" s="64"/>
      <c r="J433" s="64"/>
      <c r="K433" s="64"/>
      <c r="L433" s="55"/>
    </row>
    <row r="434" spans="1:12" s="101" customFormat="1" ht="15">
      <c r="A434" s="105"/>
      <c r="B434" s="55"/>
      <c r="C434" s="55"/>
      <c r="D434" s="64"/>
      <c r="E434" s="64"/>
      <c r="F434" s="64"/>
      <c r="G434" s="55"/>
      <c r="H434" s="106"/>
      <c r="I434" s="64"/>
      <c r="J434" s="64"/>
      <c r="K434" s="64"/>
      <c r="L434" s="55"/>
    </row>
    <row r="435" spans="1:12" s="101" customFormat="1" ht="15">
      <c r="A435" s="105"/>
      <c r="B435" s="55"/>
      <c r="C435" s="55"/>
      <c r="D435" s="64"/>
      <c r="E435" s="64"/>
      <c r="F435" s="64"/>
      <c r="G435" s="55"/>
      <c r="H435" s="106"/>
      <c r="I435" s="64"/>
      <c r="J435" s="64"/>
      <c r="K435" s="64"/>
      <c r="L435" s="55"/>
    </row>
    <row r="436" spans="1:12" s="101" customFormat="1" ht="15">
      <c r="A436" s="105"/>
      <c r="B436" s="55"/>
      <c r="C436" s="55"/>
      <c r="D436" s="64"/>
      <c r="E436" s="64"/>
      <c r="F436" s="64"/>
      <c r="G436" s="55"/>
      <c r="H436" s="106"/>
      <c r="I436" s="64"/>
      <c r="J436" s="64"/>
      <c r="K436" s="64"/>
      <c r="L436" s="55"/>
    </row>
    <row r="437" spans="1:12" s="101" customFormat="1" ht="15">
      <c r="A437" s="105"/>
      <c r="B437" s="55"/>
      <c r="C437" s="55"/>
      <c r="D437" s="64"/>
      <c r="E437" s="64"/>
      <c r="F437" s="64"/>
      <c r="G437" s="55"/>
      <c r="H437" s="106"/>
      <c r="I437" s="64"/>
      <c r="J437" s="64"/>
      <c r="K437" s="64"/>
      <c r="L437" s="55"/>
    </row>
    <row r="438" spans="1:12" s="101" customFormat="1" ht="15">
      <c r="A438" s="105"/>
      <c r="B438" s="55"/>
      <c r="C438" s="55"/>
      <c r="D438" s="64"/>
      <c r="E438" s="64"/>
      <c r="F438" s="64"/>
      <c r="G438" s="55"/>
      <c r="H438" s="106"/>
      <c r="I438" s="64"/>
      <c r="J438" s="64"/>
      <c r="K438" s="64"/>
      <c r="L438" s="55"/>
    </row>
    <row r="439" spans="1:12" s="101" customFormat="1" ht="15">
      <c r="A439" s="105"/>
      <c r="B439" s="55"/>
      <c r="C439" s="55"/>
      <c r="D439" s="64"/>
      <c r="E439" s="64"/>
      <c r="F439" s="64"/>
      <c r="G439" s="55"/>
      <c r="H439" s="106"/>
      <c r="I439" s="64"/>
      <c r="J439" s="64"/>
      <c r="K439" s="64"/>
      <c r="L439" s="55"/>
    </row>
    <row r="440" spans="1:12" s="101" customFormat="1" ht="15">
      <c r="A440" s="105"/>
      <c r="B440" s="55"/>
      <c r="C440" s="55"/>
      <c r="D440" s="64"/>
      <c r="E440" s="64"/>
      <c r="F440" s="64"/>
      <c r="G440" s="55"/>
      <c r="H440" s="106"/>
      <c r="I440" s="64"/>
      <c r="J440" s="64"/>
      <c r="K440" s="64"/>
      <c r="L440" s="55"/>
    </row>
    <row r="441" spans="1:12" s="101" customFormat="1" ht="15">
      <c r="A441" s="105"/>
      <c r="B441" s="55"/>
      <c r="C441" s="55"/>
      <c r="D441" s="64"/>
      <c r="E441" s="64"/>
      <c r="F441" s="64"/>
      <c r="G441" s="55"/>
      <c r="H441" s="106"/>
      <c r="I441" s="64"/>
      <c r="J441" s="64"/>
      <c r="K441" s="64"/>
      <c r="L441" s="55"/>
    </row>
    <row r="442" spans="1:12" s="101" customFormat="1" ht="15">
      <c r="A442" s="105"/>
      <c r="B442" s="55"/>
      <c r="C442" s="55"/>
      <c r="D442" s="64"/>
      <c r="E442" s="64"/>
      <c r="F442" s="64"/>
      <c r="G442" s="55"/>
      <c r="H442" s="106"/>
      <c r="I442" s="64"/>
      <c r="J442" s="64"/>
      <c r="K442" s="64"/>
      <c r="L442" s="55"/>
    </row>
    <row r="443" spans="1:12" s="101" customFormat="1" ht="15">
      <c r="A443" s="105"/>
      <c r="B443" s="55"/>
      <c r="C443" s="55"/>
      <c r="D443" s="64"/>
      <c r="E443" s="64"/>
      <c r="F443" s="64"/>
      <c r="G443" s="55"/>
      <c r="H443" s="106"/>
      <c r="I443" s="64"/>
      <c r="J443" s="64"/>
      <c r="K443" s="64"/>
      <c r="L443" s="55"/>
    </row>
    <row r="444" spans="1:12" s="101" customFormat="1" ht="15">
      <c r="A444" s="105"/>
      <c r="B444" s="55"/>
      <c r="C444" s="55"/>
      <c r="D444" s="64"/>
      <c r="E444" s="64"/>
      <c r="F444" s="64"/>
      <c r="G444" s="55"/>
      <c r="H444" s="106"/>
      <c r="I444" s="64"/>
      <c r="J444" s="64"/>
      <c r="K444" s="64"/>
      <c r="L444" s="55"/>
    </row>
    <row r="445" spans="1:12" s="101" customFormat="1" ht="15">
      <c r="A445" s="105"/>
      <c r="B445" s="55"/>
      <c r="C445" s="55"/>
      <c r="D445" s="64"/>
      <c r="E445" s="64"/>
      <c r="F445" s="64"/>
      <c r="G445" s="55"/>
      <c r="H445" s="106"/>
      <c r="I445" s="64"/>
      <c r="J445" s="64"/>
      <c r="K445" s="64"/>
      <c r="L445" s="55"/>
    </row>
    <row r="446" spans="1:12" s="101" customFormat="1" ht="15">
      <c r="A446" s="105"/>
      <c r="B446" s="55"/>
      <c r="C446" s="55"/>
      <c r="D446" s="64"/>
      <c r="E446" s="64"/>
      <c r="F446" s="64"/>
      <c r="G446" s="55"/>
      <c r="H446" s="106"/>
      <c r="I446" s="64"/>
      <c r="J446" s="64"/>
      <c r="K446" s="64"/>
      <c r="L446" s="55"/>
    </row>
    <row r="447" spans="1:12" s="101" customFormat="1" ht="15">
      <c r="A447" s="105"/>
      <c r="B447" s="55"/>
      <c r="C447" s="55"/>
      <c r="D447" s="64"/>
      <c r="E447" s="64"/>
      <c r="F447" s="64"/>
      <c r="G447" s="55"/>
      <c r="H447" s="106"/>
      <c r="I447" s="64"/>
      <c r="J447" s="64"/>
      <c r="K447" s="64"/>
      <c r="L447" s="55"/>
    </row>
    <row r="448" spans="1:12" s="101" customFormat="1" ht="15">
      <c r="A448" s="105"/>
      <c r="B448" s="55"/>
      <c r="C448" s="55"/>
      <c r="D448" s="64"/>
      <c r="E448" s="64"/>
      <c r="F448" s="64"/>
      <c r="G448" s="55"/>
      <c r="H448" s="106"/>
      <c r="I448" s="64"/>
      <c r="J448" s="64"/>
      <c r="K448" s="64"/>
      <c r="L448" s="55"/>
    </row>
    <row r="449" spans="1:12" s="101" customFormat="1" ht="15">
      <c r="A449" s="105"/>
      <c r="B449" s="55"/>
      <c r="C449" s="55"/>
      <c r="D449" s="64"/>
      <c r="E449" s="64"/>
      <c r="F449" s="64"/>
      <c r="G449" s="55"/>
      <c r="H449" s="106"/>
      <c r="I449" s="64"/>
      <c r="J449" s="64"/>
      <c r="K449" s="64"/>
      <c r="L449" s="55"/>
    </row>
    <row r="450" spans="1:8" ht="15">
      <c r="A450" s="7"/>
      <c r="H450" s="34"/>
    </row>
    <row r="451" spans="1:8" ht="15">
      <c r="A451" s="7"/>
      <c r="H451" s="34"/>
    </row>
    <row r="452" spans="1:8" ht="15">
      <c r="A452" s="7"/>
      <c r="H452" s="34"/>
    </row>
    <row r="453" spans="1:8" ht="15">
      <c r="A453" s="7"/>
      <c r="H453" s="34"/>
    </row>
    <row r="454" spans="1:8" ht="15">
      <c r="A454" s="7"/>
      <c r="H454" s="34"/>
    </row>
    <row r="455" spans="1:8" ht="15">
      <c r="A455" s="7"/>
      <c r="H455" s="34"/>
    </row>
    <row r="456" spans="1:8" ht="15">
      <c r="A456" s="7"/>
      <c r="H456" s="34"/>
    </row>
    <row r="457" spans="1:8" ht="15">
      <c r="A457" s="7"/>
      <c r="H457" s="34"/>
    </row>
    <row r="458" spans="1:8" ht="15">
      <c r="A458" s="7"/>
      <c r="H458" s="34"/>
    </row>
    <row r="459" spans="1:8" ht="15">
      <c r="A459" s="7"/>
      <c r="H459" s="34"/>
    </row>
    <row r="460" spans="1:8" ht="15">
      <c r="A460" s="7"/>
      <c r="H460" s="34"/>
    </row>
    <row r="461" spans="1:8" ht="15">
      <c r="A461" s="7"/>
      <c r="H461" s="34"/>
    </row>
    <row r="462" spans="1:8" ht="15">
      <c r="A462" s="7"/>
      <c r="H462" s="34"/>
    </row>
    <row r="463" spans="1:8" ht="15">
      <c r="A463" s="7"/>
      <c r="H463" s="34"/>
    </row>
    <row r="464" spans="1:8" ht="15">
      <c r="A464" s="7"/>
      <c r="H464" s="34"/>
    </row>
    <row r="465" spans="1:8" ht="15">
      <c r="A465" s="7"/>
      <c r="H465" s="34"/>
    </row>
    <row r="466" spans="1:8" ht="15">
      <c r="A466" s="7"/>
      <c r="H466" s="34"/>
    </row>
    <row r="467" spans="1:8" ht="15">
      <c r="A467" s="7"/>
      <c r="H467" s="34"/>
    </row>
    <row r="468" spans="1:8" ht="15">
      <c r="A468" s="7"/>
      <c r="H468" s="34"/>
    </row>
    <row r="469" spans="1:8" ht="15">
      <c r="A469" s="7"/>
      <c r="H469" s="34"/>
    </row>
    <row r="470" spans="1:8" ht="15">
      <c r="A470" s="7"/>
      <c r="H470" s="34"/>
    </row>
    <row r="471" spans="1:8" ht="15">
      <c r="A471" s="7"/>
      <c r="H471" s="34"/>
    </row>
    <row r="472" spans="1:8" ht="15">
      <c r="A472" s="7"/>
      <c r="H472" s="34"/>
    </row>
    <row r="473" spans="1:8" ht="15">
      <c r="A473" s="7"/>
      <c r="H473" s="34"/>
    </row>
    <row r="474" spans="1:8" ht="15">
      <c r="A474" s="7"/>
      <c r="H474" s="34"/>
    </row>
    <row r="475" spans="1:8" ht="15">
      <c r="A475" s="7"/>
      <c r="H475" s="34"/>
    </row>
    <row r="476" spans="1:8" ht="15">
      <c r="A476" s="7"/>
      <c r="H476" s="34"/>
    </row>
    <row r="477" spans="1:8" ht="15">
      <c r="A477" s="7"/>
      <c r="H477" s="34"/>
    </row>
    <row r="478" spans="1:8" ht="15">
      <c r="A478" s="7"/>
      <c r="H478" s="34"/>
    </row>
    <row r="479" spans="1:8" ht="15">
      <c r="A479" s="7"/>
      <c r="H479" s="34"/>
    </row>
    <row r="480" spans="1:8" ht="15">
      <c r="A480" s="7"/>
      <c r="H480" s="34"/>
    </row>
    <row r="481" spans="1:8" ht="15">
      <c r="A481" s="7"/>
      <c r="H481" s="34"/>
    </row>
    <row r="482" spans="1:8" ht="15">
      <c r="A482" s="7"/>
      <c r="H482" s="34"/>
    </row>
    <row r="483" ht="15">
      <c r="H483" s="34"/>
    </row>
    <row r="484" ht="15">
      <c r="H484" s="34"/>
    </row>
    <row r="485" ht="15">
      <c r="H485" s="34"/>
    </row>
    <row r="486" ht="15">
      <c r="H486" s="34"/>
    </row>
    <row r="487" ht="15">
      <c r="H487" s="34"/>
    </row>
    <row r="488" ht="15">
      <c r="H488" s="34"/>
    </row>
    <row r="489" ht="15">
      <c r="H489" s="34"/>
    </row>
    <row r="490" ht="15">
      <c r="H490" s="34"/>
    </row>
    <row r="491" ht="15">
      <c r="H491" s="34"/>
    </row>
    <row r="492" ht="15">
      <c r="H492" s="34"/>
    </row>
    <row r="493" ht="15">
      <c r="H493" s="34"/>
    </row>
    <row r="494" ht="15">
      <c r="H494" s="34"/>
    </row>
    <row r="495" ht="15">
      <c r="H495" s="34"/>
    </row>
    <row r="496" ht="15">
      <c r="H496" s="34"/>
    </row>
    <row r="497" ht="15">
      <c r="H497" s="34"/>
    </row>
    <row r="498" ht="15">
      <c r="H498" s="34"/>
    </row>
    <row r="499" ht="15">
      <c r="H499" s="34"/>
    </row>
    <row r="500" ht="15">
      <c r="H500" s="34"/>
    </row>
    <row r="501" ht="15">
      <c r="H501" s="34"/>
    </row>
    <row r="502" ht="15">
      <c r="H502" s="34"/>
    </row>
    <row r="503" ht="15">
      <c r="H503" s="34"/>
    </row>
    <row r="504" ht="15">
      <c r="H504" s="34"/>
    </row>
    <row r="505" ht="15">
      <c r="H505" s="34"/>
    </row>
    <row r="506" ht="15">
      <c r="H506" s="34"/>
    </row>
    <row r="507" ht="15">
      <c r="H507" s="34"/>
    </row>
    <row r="508" ht="15">
      <c r="H508" s="34"/>
    </row>
    <row r="509" ht="15">
      <c r="H509" s="34"/>
    </row>
    <row r="510" ht="15">
      <c r="H510" s="34"/>
    </row>
    <row r="511" ht="15">
      <c r="H511" s="34"/>
    </row>
    <row r="512" ht="15">
      <c r="H512" s="34"/>
    </row>
    <row r="513" ht="15">
      <c r="H513" s="34"/>
    </row>
    <row r="514" ht="15">
      <c r="H514" s="34"/>
    </row>
    <row r="515" ht="15">
      <c r="H515" s="34"/>
    </row>
  </sheetData>
  <sheetProtection/>
  <mergeCells count="173">
    <mergeCell ref="A4:A6"/>
    <mergeCell ref="B4:B6"/>
    <mergeCell ref="C4:K4"/>
    <mergeCell ref="L4:L6"/>
    <mergeCell ref="C5:C6"/>
    <mergeCell ref="D5:D6"/>
    <mergeCell ref="E5:F5"/>
    <mergeCell ref="G5:G6"/>
    <mergeCell ref="H5:H6"/>
    <mergeCell ref="I5:I6"/>
    <mergeCell ref="J5:K6"/>
    <mergeCell ref="B1:K1"/>
    <mergeCell ref="B2:K2"/>
    <mergeCell ref="J3:K3"/>
    <mergeCell ref="A22:A24"/>
    <mergeCell ref="K22:K24"/>
    <mergeCell ref="L22:L24"/>
    <mergeCell ref="A17:A19"/>
    <mergeCell ref="K17:K19"/>
    <mergeCell ref="L17:L19"/>
    <mergeCell ref="A8:L8"/>
    <mergeCell ref="A9:A11"/>
    <mergeCell ref="K9:K11"/>
    <mergeCell ref="L9:L11"/>
    <mergeCell ref="A13:A15"/>
    <mergeCell ref="K13:K15"/>
    <mergeCell ref="L13:L15"/>
    <mergeCell ref="A155:A157"/>
    <mergeCell ref="K155:K157"/>
    <mergeCell ref="L155:L157"/>
    <mergeCell ref="A158:A160"/>
    <mergeCell ref="K158:K160"/>
    <mergeCell ref="L158:L160"/>
    <mergeCell ref="A29:A31"/>
    <mergeCell ref="K29:K31"/>
    <mergeCell ref="L29:L31"/>
    <mergeCell ref="A148:K148"/>
    <mergeCell ref="A151:A153"/>
    <mergeCell ref="K151:K153"/>
    <mergeCell ref="L151:L153"/>
    <mergeCell ref="A169:A171"/>
    <mergeCell ref="K169:K171"/>
    <mergeCell ref="L169:L171"/>
    <mergeCell ref="A173:A175"/>
    <mergeCell ref="K173:K175"/>
    <mergeCell ref="L173:L175"/>
    <mergeCell ref="A161:A163"/>
    <mergeCell ref="K161:K163"/>
    <mergeCell ref="L161:L163"/>
    <mergeCell ref="A165:A167"/>
    <mergeCell ref="K165:K167"/>
    <mergeCell ref="L165:L167"/>
    <mergeCell ref="A186:A188"/>
    <mergeCell ref="K186:K188"/>
    <mergeCell ref="L186:L188"/>
    <mergeCell ref="A189:A191"/>
    <mergeCell ref="K189:K191"/>
    <mergeCell ref="L189:L191"/>
    <mergeCell ref="A176:A178"/>
    <mergeCell ref="K176:K178"/>
    <mergeCell ref="L176:L178"/>
    <mergeCell ref="A183:A185"/>
    <mergeCell ref="K183:K185"/>
    <mergeCell ref="L183:L185"/>
    <mergeCell ref="A180:A182"/>
    <mergeCell ref="K180:K182"/>
    <mergeCell ref="L180:L182"/>
    <mergeCell ref="A198:A200"/>
    <mergeCell ref="K198:K200"/>
    <mergeCell ref="L198:L200"/>
    <mergeCell ref="A202:A204"/>
    <mergeCell ref="K202:K204"/>
    <mergeCell ref="L202:L204"/>
    <mergeCell ref="A192:A194"/>
    <mergeCell ref="K192:K194"/>
    <mergeCell ref="L192:L194"/>
    <mergeCell ref="A195:A197"/>
    <mergeCell ref="K195:K197"/>
    <mergeCell ref="L195:L197"/>
    <mergeCell ref="A213:A215"/>
    <mergeCell ref="K213:K215"/>
    <mergeCell ref="L213:L215"/>
    <mergeCell ref="A216:A218"/>
    <mergeCell ref="K216:K218"/>
    <mergeCell ref="L216:L218"/>
    <mergeCell ref="A206:A208"/>
    <mergeCell ref="K206:K208"/>
    <mergeCell ref="L206:L208"/>
    <mergeCell ref="A210:A212"/>
    <mergeCell ref="K210:K212"/>
    <mergeCell ref="L210:L212"/>
    <mergeCell ref="A226:A228"/>
    <mergeCell ref="K226:K228"/>
    <mergeCell ref="L226:L228"/>
    <mergeCell ref="A229:A231"/>
    <mergeCell ref="K229:K231"/>
    <mergeCell ref="L229:L231"/>
    <mergeCell ref="A219:A221"/>
    <mergeCell ref="K219:K221"/>
    <mergeCell ref="L219:L221"/>
    <mergeCell ref="A222:A224"/>
    <mergeCell ref="K222:K224"/>
    <mergeCell ref="L222:L224"/>
    <mergeCell ref="A239:A241"/>
    <mergeCell ref="K239:K241"/>
    <mergeCell ref="L239:L241"/>
    <mergeCell ref="A243:A245"/>
    <mergeCell ref="K243:K245"/>
    <mergeCell ref="L243:L245"/>
    <mergeCell ref="A233:A235"/>
    <mergeCell ref="K233:K235"/>
    <mergeCell ref="L233:L235"/>
    <mergeCell ref="A236:A238"/>
    <mergeCell ref="K236:K238"/>
    <mergeCell ref="L236:L238"/>
    <mergeCell ref="A257:A259"/>
    <mergeCell ref="K257:K259"/>
    <mergeCell ref="L257:L259"/>
    <mergeCell ref="A260:A262"/>
    <mergeCell ref="K260:K262"/>
    <mergeCell ref="L260:L262"/>
    <mergeCell ref="A246:A248"/>
    <mergeCell ref="K246:K248"/>
    <mergeCell ref="L246:L248"/>
    <mergeCell ref="A251:A253"/>
    <mergeCell ref="K251:K253"/>
    <mergeCell ref="L251:L253"/>
    <mergeCell ref="A272:A274"/>
    <mergeCell ref="K272:K274"/>
    <mergeCell ref="L272:L274"/>
    <mergeCell ref="A275:A277"/>
    <mergeCell ref="K275:K277"/>
    <mergeCell ref="L275:L277"/>
    <mergeCell ref="A263:A265"/>
    <mergeCell ref="K263:K265"/>
    <mergeCell ref="L263:L265"/>
    <mergeCell ref="A269:A271"/>
    <mergeCell ref="K269:K271"/>
    <mergeCell ref="L269:L271"/>
    <mergeCell ref="L284:L286"/>
    <mergeCell ref="A287:A289"/>
    <mergeCell ref="K287:K289"/>
    <mergeCell ref="L287:L289"/>
    <mergeCell ref="A278:A280"/>
    <mergeCell ref="K278:K280"/>
    <mergeCell ref="L278:L280"/>
    <mergeCell ref="A281:A283"/>
    <mergeCell ref="K281:K283"/>
    <mergeCell ref="L281:L283"/>
    <mergeCell ref="A254:A256"/>
    <mergeCell ref="K254:K256"/>
    <mergeCell ref="L254:L256"/>
    <mergeCell ref="A397:A399"/>
    <mergeCell ref="A302:A304"/>
    <mergeCell ref="K302:K304"/>
    <mergeCell ref="L302:L304"/>
    <mergeCell ref="A305:A307"/>
    <mergeCell ref="K305:K307"/>
    <mergeCell ref="L305:L307"/>
    <mergeCell ref="A296:A298"/>
    <mergeCell ref="K296:K298"/>
    <mergeCell ref="L296:L298"/>
    <mergeCell ref="A299:A301"/>
    <mergeCell ref="K299:K301"/>
    <mergeCell ref="L299:L301"/>
    <mergeCell ref="A290:A292"/>
    <mergeCell ref="K290:K292"/>
    <mergeCell ref="L290:L292"/>
    <mergeCell ref="A293:A295"/>
    <mergeCell ref="K293:K295"/>
    <mergeCell ref="L293:L295"/>
    <mergeCell ref="A284:A286"/>
    <mergeCell ref="K284:K2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1">
      <selection activeCell="L119" sqref="L119"/>
    </sheetView>
  </sheetViews>
  <sheetFormatPr defaultColWidth="9.140625" defaultRowHeight="15"/>
  <cols>
    <col min="1" max="1" width="9.140625" style="112" customWidth="1"/>
    <col min="2" max="2" width="22.140625" style="112" customWidth="1"/>
    <col min="3" max="3" width="14.7109375" style="112" customWidth="1"/>
    <col min="4" max="4" width="14.28125" style="114" customWidth="1"/>
    <col min="5" max="5" width="14.7109375" style="112" customWidth="1"/>
    <col min="6" max="6" width="11.7109375" style="112" customWidth="1"/>
    <col min="7" max="7" width="9.8515625" style="112" customWidth="1"/>
    <col min="8" max="8" width="11.140625" style="112" customWidth="1"/>
    <col min="9" max="9" width="10.8515625" style="112" customWidth="1"/>
    <col min="10" max="10" width="11.28125" style="112" customWidth="1"/>
    <col min="11" max="11" width="12.28125" style="112" customWidth="1"/>
    <col min="12" max="12" width="12.57421875" style="112" customWidth="1"/>
    <col min="13" max="13" width="16.421875" style="112" customWidth="1"/>
    <col min="14" max="16384" width="9.140625" style="112" customWidth="1"/>
  </cols>
  <sheetData>
    <row r="1" spans="1:13" ht="15">
      <c r="A1" s="5"/>
      <c r="B1" s="6"/>
      <c r="C1" s="6"/>
      <c r="D1" s="53"/>
      <c r="E1" s="5"/>
      <c r="F1" s="5"/>
      <c r="G1" s="5"/>
      <c r="H1" s="6"/>
      <c r="I1" s="6"/>
      <c r="J1" s="5"/>
      <c r="K1" s="311"/>
      <c r="L1" s="311"/>
      <c r="M1" s="57"/>
    </row>
    <row r="2" spans="1:13" ht="42.75" customHeight="1">
      <c r="A2" s="4"/>
      <c r="B2" s="312" t="s">
        <v>411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57"/>
    </row>
    <row r="3" spans="1:13" ht="15">
      <c r="A3" s="5"/>
      <c r="B3" s="6"/>
      <c r="C3" s="6"/>
      <c r="D3" s="53"/>
      <c r="E3" s="5"/>
      <c r="F3" s="5"/>
      <c r="G3" s="5"/>
      <c r="H3" s="6"/>
      <c r="I3" s="6"/>
      <c r="J3" s="5"/>
      <c r="K3" s="299" t="s">
        <v>15</v>
      </c>
      <c r="L3" s="299"/>
      <c r="M3" s="20"/>
    </row>
    <row r="4" spans="1:13" ht="15">
      <c r="A4" s="300" t="s">
        <v>13</v>
      </c>
      <c r="B4" s="297" t="s">
        <v>0</v>
      </c>
      <c r="C4" s="297" t="s">
        <v>357</v>
      </c>
      <c r="D4" s="297"/>
      <c r="E4" s="297"/>
      <c r="F4" s="297"/>
      <c r="G4" s="297"/>
      <c r="H4" s="297"/>
      <c r="I4" s="297"/>
      <c r="J4" s="297"/>
      <c r="K4" s="297"/>
      <c r="L4" s="297"/>
      <c r="M4" s="293" t="s">
        <v>361</v>
      </c>
    </row>
    <row r="5" spans="1:13" ht="122.25" customHeight="1">
      <c r="A5" s="300"/>
      <c r="B5" s="297"/>
      <c r="C5" s="297" t="s">
        <v>8</v>
      </c>
      <c r="D5" s="309" t="s">
        <v>355</v>
      </c>
      <c r="E5" s="310" t="s">
        <v>356</v>
      </c>
      <c r="F5" s="297" t="s">
        <v>7</v>
      </c>
      <c r="G5" s="297"/>
      <c r="H5" s="297" t="s">
        <v>2</v>
      </c>
      <c r="I5" s="297" t="s">
        <v>10</v>
      </c>
      <c r="J5" s="297" t="s">
        <v>5</v>
      </c>
      <c r="K5" s="297" t="s">
        <v>347</v>
      </c>
      <c r="L5" s="297"/>
      <c r="M5" s="293"/>
    </row>
    <row r="6" spans="1:13" ht="131.25" customHeight="1">
      <c r="A6" s="300"/>
      <c r="B6" s="297"/>
      <c r="C6" s="297"/>
      <c r="D6" s="309"/>
      <c r="E6" s="310"/>
      <c r="F6" s="10" t="s">
        <v>3</v>
      </c>
      <c r="G6" s="10" t="s">
        <v>6</v>
      </c>
      <c r="H6" s="297"/>
      <c r="I6" s="297"/>
      <c r="J6" s="297"/>
      <c r="K6" s="297"/>
      <c r="L6" s="297"/>
      <c r="M6" s="293"/>
    </row>
    <row r="7" spans="1:13" ht="15">
      <c r="A7" s="10">
        <v>1</v>
      </c>
      <c r="B7" s="10">
        <v>2</v>
      </c>
      <c r="C7" s="10">
        <v>3</v>
      </c>
      <c r="D7" s="54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8">
        <v>13</v>
      </c>
    </row>
    <row r="8" spans="1:13" ht="15">
      <c r="A8" s="306" t="s">
        <v>346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8"/>
    </row>
    <row r="9" spans="1:13" ht="28.5">
      <c r="A9" s="300">
        <v>1</v>
      </c>
      <c r="B9" s="76" t="s">
        <v>16</v>
      </c>
      <c r="C9" s="43" t="s">
        <v>147</v>
      </c>
      <c r="D9" s="117">
        <f>D10+D11</f>
        <v>0.05499999999999999</v>
      </c>
      <c r="E9" s="17">
        <f>D9+'Табл.1 Текущий дефицит'!D9</f>
        <v>1.865</v>
      </c>
      <c r="F9" s="13">
        <v>6.3</v>
      </c>
      <c r="G9" s="14" t="s">
        <v>4</v>
      </c>
      <c r="H9" s="13">
        <f>F9</f>
        <v>6.3</v>
      </c>
      <c r="I9" s="14">
        <v>0</v>
      </c>
      <c r="J9" s="13">
        <f>H9-I9</f>
        <v>6.3</v>
      </c>
      <c r="K9" s="13">
        <f aca="true" t="shared" si="0" ref="K9:K66">J9-E9</f>
        <v>4.435</v>
      </c>
      <c r="L9" s="281">
        <f>MIN(K9:K11)</f>
        <v>1.0439999999999998</v>
      </c>
      <c r="M9" s="282" t="s">
        <v>362</v>
      </c>
    </row>
    <row r="10" spans="1:13" ht="28.5">
      <c r="A10" s="300"/>
      <c r="B10" s="76" t="s">
        <v>348</v>
      </c>
      <c r="C10" s="43">
        <v>6.3</v>
      </c>
      <c r="D10" s="117">
        <v>0.036</v>
      </c>
      <c r="E10" s="17">
        <f>D10+'Табл.1 Текущий дефицит'!D10</f>
        <v>1.256</v>
      </c>
      <c r="F10" s="13">
        <v>2.3</v>
      </c>
      <c r="G10" s="14" t="s">
        <v>4</v>
      </c>
      <c r="H10" s="25">
        <f aca="true" t="shared" si="1" ref="H10:H67">F10</f>
        <v>2.3</v>
      </c>
      <c r="I10" s="14">
        <v>0</v>
      </c>
      <c r="J10" s="13">
        <f aca="true" t="shared" si="2" ref="J10:J67">H10-I10</f>
        <v>2.3</v>
      </c>
      <c r="K10" s="13">
        <f t="shared" si="0"/>
        <v>1.0439999999999998</v>
      </c>
      <c r="L10" s="281"/>
      <c r="M10" s="282"/>
    </row>
    <row r="11" spans="1:13" ht="28.5">
      <c r="A11" s="300"/>
      <c r="B11" s="76" t="s">
        <v>349</v>
      </c>
      <c r="C11" s="43">
        <v>6.3</v>
      </c>
      <c r="D11" s="117">
        <v>0.019</v>
      </c>
      <c r="E11" s="17">
        <f>D11+'Табл.1 Текущий дефицит'!D11</f>
        <v>0.609</v>
      </c>
      <c r="F11" s="13">
        <v>4</v>
      </c>
      <c r="G11" s="14" t="s">
        <v>4</v>
      </c>
      <c r="H11" s="25">
        <f t="shared" si="1"/>
        <v>4</v>
      </c>
      <c r="I11" s="14">
        <v>0</v>
      </c>
      <c r="J11" s="13">
        <f t="shared" si="2"/>
        <v>4</v>
      </c>
      <c r="K11" s="13">
        <f t="shared" si="0"/>
        <v>3.391</v>
      </c>
      <c r="L11" s="281"/>
      <c r="M11" s="282"/>
    </row>
    <row r="12" spans="1:13" ht="15">
      <c r="A12" s="44">
        <v>2</v>
      </c>
      <c r="B12" s="77" t="s">
        <v>17</v>
      </c>
      <c r="C12" s="29" t="s">
        <v>147</v>
      </c>
      <c r="D12" s="116">
        <v>2.476</v>
      </c>
      <c r="E12" s="127">
        <f>D12+'Табл.1 Текущий дефицит'!D12</f>
        <v>2.806</v>
      </c>
      <c r="F12" s="126">
        <v>2.15</v>
      </c>
      <c r="G12" s="30" t="s">
        <v>4</v>
      </c>
      <c r="H12" s="81">
        <f t="shared" si="1"/>
        <v>2.15</v>
      </c>
      <c r="I12" s="30">
        <v>0</v>
      </c>
      <c r="J12" s="45">
        <f t="shared" si="2"/>
        <v>2.15</v>
      </c>
      <c r="K12" s="45">
        <f t="shared" si="0"/>
        <v>-0.6560000000000001</v>
      </c>
      <c r="L12" s="115">
        <f>K12</f>
        <v>-0.6560000000000001</v>
      </c>
      <c r="M12" s="46" t="s">
        <v>363</v>
      </c>
    </row>
    <row r="13" spans="1:13" ht="28.5">
      <c r="A13" s="300">
        <v>3</v>
      </c>
      <c r="B13" s="76" t="s">
        <v>18</v>
      </c>
      <c r="C13" s="43" t="s">
        <v>147</v>
      </c>
      <c r="D13" s="117">
        <f>D14+D15</f>
        <v>0.21500000000000002</v>
      </c>
      <c r="E13" s="17">
        <f>D13+'Табл.1 Текущий дефицит'!D13</f>
        <v>3.5549999999999997</v>
      </c>
      <c r="F13" s="13">
        <v>6.8</v>
      </c>
      <c r="G13" s="14" t="s">
        <v>4</v>
      </c>
      <c r="H13" s="25">
        <f t="shared" si="1"/>
        <v>6.8</v>
      </c>
      <c r="I13" s="14">
        <v>0</v>
      </c>
      <c r="J13" s="13">
        <f t="shared" si="2"/>
        <v>6.8</v>
      </c>
      <c r="K13" s="13">
        <f t="shared" si="0"/>
        <v>3.245</v>
      </c>
      <c r="L13" s="281">
        <f>MIN(K13:K15)</f>
        <v>0.363</v>
      </c>
      <c r="M13" s="282" t="s">
        <v>362</v>
      </c>
    </row>
    <row r="14" spans="1:13" ht="28.5">
      <c r="A14" s="300"/>
      <c r="B14" s="76" t="s">
        <v>348</v>
      </c>
      <c r="C14" s="43">
        <v>6.3</v>
      </c>
      <c r="D14" s="117">
        <f>D77</f>
        <v>0.058</v>
      </c>
      <c r="E14" s="17">
        <f>D14+'Табл.1 Текущий дефицит'!D14</f>
        <v>0.6180000000000001</v>
      </c>
      <c r="F14" s="13">
        <v>3.5</v>
      </c>
      <c r="G14" s="14" t="s">
        <v>4</v>
      </c>
      <c r="H14" s="25">
        <f t="shared" si="1"/>
        <v>3.5</v>
      </c>
      <c r="I14" s="14">
        <v>0</v>
      </c>
      <c r="J14" s="13">
        <f t="shared" si="2"/>
        <v>3.5</v>
      </c>
      <c r="K14" s="13">
        <f t="shared" si="0"/>
        <v>2.8819999999999997</v>
      </c>
      <c r="L14" s="281"/>
      <c r="M14" s="282"/>
    </row>
    <row r="15" spans="1:13" ht="28.5">
      <c r="A15" s="300"/>
      <c r="B15" s="76" t="s">
        <v>349</v>
      </c>
      <c r="C15" s="43">
        <v>6.3</v>
      </c>
      <c r="D15" s="117">
        <v>0.15700000000000003</v>
      </c>
      <c r="E15" s="17">
        <f>D15+'Табл.1 Текущий дефицит'!D15</f>
        <v>2.937</v>
      </c>
      <c r="F15" s="13">
        <v>3.3</v>
      </c>
      <c r="G15" s="14" t="s">
        <v>4</v>
      </c>
      <c r="H15" s="25">
        <f t="shared" si="1"/>
        <v>3.3</v>
      </c>
      <c r="I15" s="14">
        <v>0</v>
      </c>
      <c r="J15" s="13">
        <f t="shared" si="2"/>
        <v>3.3</v>
      </c>
      <c r="K15" s="13">
        <f>J15-E15</f>
        <v>0.363</v>
      </c>
      <c r="L15" s="281"/>
      <c r="M15" s="282"/>
    </row>
    <row r="16" spans="1:13" ht="15">
      <c r="A16" s="42">
        <v>4</v>
      </c>
      <c r="B16" s="76" t="s">
        <v>19</v>
      </c>
      <c r="C16" s="43" t="s">
        <v>148</v>
      </c>
      <c r="D16" s="117">
        <v>0.096</v>
      </c>
      <c r="E16" s="17">
        <f>D16+'Табл.1 Текущий дефицит'!D16</f>
        <v>0.696</v>
      </c>
      <c r="F16" s="13">
        <v>2.5</v>
      </c>
      <c r="G16" s="14" t="s">
        <v>4</v>
      </c>
      <c r="H16" s="25">
        <f t="shared" si="1"/>
        <v>2.5</v>
      </c>
      <c r="I16" s="14">
        <v>0</v>
      </c>
      <c r="J16" s="13">
        <f t="shared" si="2"/>
        <v>2.5</v>
      </c>
      <c r="K16" s="13">
        <f t="shared" si="0"/>
        <v>1.804</v>
      </c>
      <c r="L16" s="13">
        <f>K16</f>
        <v>1.804</v>
      </c>
      <c r="M16" s="23" t="s">
        <v>362</v>
      </c>
    </row>
    <row r="17" spans="1:13" ht="28.5">
      <c r="A17" s="300">
        <v>5</v>
      </c>
      <c r="B17" s="76" t="s">
        <v>20</v>
      </c>
      <c r="C17" s="43" t="s">
        <v>147</v>
      </c>
      <c r="D17" s="117">
        <f>D18+D19</f>
        <v>0.055</v>
      </c>
      <c r="E17" s="17">
        <f>D17+'Табл.1 Текущий дефицит'!D17</f>
        <v>0.9650000000000001</v>
      </c>
      <c r="F17" s="13">
        <v>6</v>
      </c>
      <c r="G17" s="14" t="s">
        <v>4</v>
      </c>
      <c r="H17" s="25">
        <f t="shared" si="1"/>
        <v>6</v>
      </c>
      <c r="I17" s="14">
        <v>0</v>
      </c>
      <c r="J17" s="13">
        <f t="shared" si="2"/>
        <v>6</v>
      </c>
      <c r="K17" s="13">
        <f t="shared" si="0"/>
        <v>5.035</v>
      </c>
      <c r="L17" s="281">
        <f>MIN(K17:K19)</f>
        <v>1.3349999999999997</v>
      </c>
      <c r="M17" s="282" t="s">
        <v>362</v>
      </c>
    </row>
    <row r="18" spans="1:13" ht="28.5">
      <c r="A18" s="300"/>
      <c r="B18" s="76" t="s">
        <v>348</v>
      </c>
      <c r="C18" s="43">
        <v>6.3</v>
      </c>
      <c r="D18" s="117">
        <v>0</v>
      </c>
      <c r="E18" s="17">
        <f>D18+'Табл.1 Текущий дефицит'!D18</f>
        <v>0</v>
      </c>
      <c r="F18" s="13">
        <v>3.7</v>
      </c>
      <c r="G18" s="14" t="s">
        <v>4</v>
      </c>
      <c r="H18" s="25">
        <f t="shared" si="1"/>
        <v>3.7</v>
      </c>
      <c r="I18" s="14">
        <v>0</v>
      </c>
      <c r="J18" s="13">
        <f t="shared" si="2"/>
        <v>3.7</v>
      </c>
      <c r="K18" s="13">
        <f t="shared" si="0"/>
        <v>3.7</v>
      </c>
      <c r="L18" s="281"/>
      <c r="M18" s="282"/>
    </row>
    <row r="19" spans="1:13" ht="28.5">
      <c r="A19" s="300"/>
      <c r="B19" s="76" t="s">
        <v>349</v>
      </c>
      <c r="C19" s="43">
        <v>6.3</v>
      </c>
      <c r="D19" s="117">
        <v>0.055</v>
      </c>
      <c r="E19" s="17">
        <f>D19+'Табл.1 Текущий дефицит'!D19</f>
        <v>0.9650000000000001</v>
      </c>
      <c r="F19" s="13">
        <v>2.3</v>
      </c>
      <c r="G19" s="14" t="s">
        <v>4</v>
      </c>
      <c r="H19" s="25">
        <f t="shared" si="1"/>
        <v>2.3</v>
      </c>
      <c r="I19" s="14">
        <v>0</v>
      </c>
      <c r="J19" s="13">
        <f t="shared" si="2"/>
        <v>2.3</v>
      </c>
      <c r="K19" s="13">
        <f t="shared" si="0"/>
        <v>1.3349999999999997</v>
      </c>
      <c r="L19" s="281"/>
      <c r="M19" s="282"/>
    </row>
    <row r="20" spans="1:13" ht="15">
      <c r="A20" s="42">
        <v>6</v>
      </c>
      <c r="B20" s="76" t="s">
        <v>21</v>
      </c>
      <c r="C20" s="43" t="s">
        <v>149</v>
      </c>
      <c r="D20" s="117">
        <v>0.046</v>
      </c>
      <c r="E20" s="17">
        <f>D20+'Табл.1 Текущий дефицит'!D20</f>
        <v>0.346</v>
      </c>
      <c r="F20" s="13">
        <v>2.15</v>
      </c>
      <c r="G20" s="14" t="s">
        <v>4</v>
      </c>
      <c r="H20" s="25">
        <f t="shared" si="1"/>
        <v>2.15</v>
      </c>
      <c r="I20" s="14">
        <v>0</v>
      </c>
      <c r="J20" s="13">
        <f t="shared" si="2"/>
        <v>2.15</v>
      </c>
      <c r="K20" s="13">
        <f t="shared" si="0"/>
        <v>1.8039999999999998</v>
      </c>
      <c r="L20" s="13">
        <f>K20</f>
        <v>1.8039999999999998</v>
      </c>
      <c r="M20" s="23" t="s">
        <v>362</v>
      </c>
    </row>
    <row r="21" spans="1:13" ht="15">
      <c r="A21" s="42">
        <v>7</v>
      </c>
      <c r="B21" s="76" t="s">
        <v>22</v>
      </c>
      <c r="C21" s="43" t="s">
        <v>147</v>
      </c>
      <c r="D21" s="117">
        <v>0.0004</v>
      </c>
      <c r="E21" s="17">
        <f>D21+'Табл.1 Текущий дефицит'!D21</f>
        <v>0.6204</v>
      </c>
      <c r="F21" s="13">
        <v>0.67</v>
      </c>
      <c r="G21" s="14" t="s">
        <v>4</v>
      </c>
      <c r="H21" s="25">
        <f t="shared" si="1"/>
        <v>0.67</v>
      </c>
      <c r="I21" s="14">
        <v>0</v>
      </c>
      <c r="J21" s="13">
        <f t="shared" si="2"/>
        <v>0.67</v>
      </c>
      <c r="K21" s="13">
        <f t="shared" si="0"/>
        <v>0.04960000000000009</v>
      </c>
      <c r="L21" s="13">
        <f>K21</f>
        <v>0.04960000000000009</v>
      </c>
      <c r="M21" s="23" t="s">
        <v>362</v>
      </c>
    </row>
    <row r="22" spans="1:13" ht="28.5">
      <c r="A22" s="300">
        <v>8</v>
      </c>
      <c r="B22" s="76" t="s">
        <v>23</v>
      </c>
      <c r="C22" s="43" t="s">
        <v>148</v>
      </c>
      <c r="D22" s="117">
        <f>D23+D24</f>
        <v>0.6007</v>
      </c>
      <c r="E22" s="17">
        <f>D22+'Табл.1 Текущий дефицит'!D22</f>
        <v>2.0007</v>
      </c>
      <c r="F22" s="13">
        <v>5.13</v>
      </c>
      <c r="G22" s="14" t="s">
        <v>4</v>
      </c>
      <c r="H22" s="25">
        <f t="shared" si="1"/>
        <v>5.13</v>
      </c>
      <c r="I22" s="14">
        <v>0</v>
      </c>
      <c r="J22" s="13">
        <f t="shared" si="2"/>
        <v>5.13</v>
      </c>
      <c r="K22" s="13">
        <f t="shared" si="0"/>
        <v>3.1292999999999997</v>
      </c>
      <c r="L22" s="281">
        <f>MIN(K22:K24)</f>
        <v>0.54</v>
      </c>
      <c r="M22" s="282" t="s">
        <v>362</v>
      </c>
    </row>
    <row r="23" spans="1:13" ht="28.5">
      <c r="A23" s="300"/>
      <c r="B23" s="76" t="s">
        <v>348</v>
      </c>
      <c r="C23" s="43">
        <v>10</v>
      </c>
      <c r="D23" s="117">
        <f>D66</f>
        <v>0.0107</v>
      </c>
      <c r="E23" s="17">
        <f>D23+'Табл.1 Текущий дефицит'!D23</f>
        <v>1.0107</v>
      </c>
      <c r="F23" s="13">
        <v>3.6</v>
      </c>
      <c r="G23" s="14" t="s">
        <v>4</v>
      </c>
      <c r="H23" s="25">
        <f t="shared" si="1"/>
        <v>3.6</v>
      </c>
      <c r="I23" s="14">
        <v>0</v>
      </c>
      <c r="J23" s="13">
        <f t="shared" si="2"/>
        <v>3.6</v>
      </c>
      <c r="K23" s="13">
        <f t="shared" si="0"/>
        <v>2.5893</v>
      </c>
      <c r="L23" s="281"/>
      <c r="M23" s="282"/>
    </row>
    <row r="24" spans="1:13" ht="28.5">
      <c r="A24" s="300"/>
      <c r="B24" s="76" t="s">
        <v>349</v>
      </c>
      <c r="C24" s="43">
        <v>10</v>
      </c>
      <c r="D24" s="117">
        <v>0.59</v>
      </c>
      <c r="E24" s="17">
        <f>D24+'Табл.1 Текущий дефицит'!D24</f>
        <v>0.99</v>
      </c>
      <c r="F24" s="13">
        <v>1.53</v>
      </c>
      <c r="G24" s="14" t="s">
        <v>4</v>
      </c>
      <c r="H24" s="25">
        <f t="shared" si="1"/>
        <v>1.53</v>
      </c>
      <c r="I24" s="14">
        <v>0</v>
      </c>
      <c r="J24" s="13">
        <f t="shared" si="2"/>
        <v>1.53</v>
      </c>
      <c r="K24" s="13">
        <f t="shared" si="0"/>
        <v>0.54</v>
      </c>
      <c r="L24" s="281"/>
      <c r="M24" s="282"/>
    </row>
    <row r="25" spans="1:13" ht="28.5">
      <c r="A25" s="51">
        <v>9</v>
      </c>
      <c r="B25" s="78" t="s">
        <v>25</v>
      </c>
      <c r="C25" s="52" t="s">
        <v>148</v>
      </c>
      <c r="D25" s="117">
        <v>0.0244</v>
      </c>
      <c r="E25" s="17">
        <f>D25+'Табл.1 Текущий дефицит'!D25</f>
        <v>1.2244</v>
      </c>
      <c r="F25" s="13">
        <v>1.4</v>
      </c>
      <c r="G25" s="48" t="s">
        <v>4</v>
      </c>
      <c r="H25" s="50">
        <f t="shared" si="1"/>
        <v>1.4</v>
      </c>
      <c r="I25" s="48">
        <v>0</v>
      </c>
      <c r="J25" s="17">
        <f t="shared" si="2"/>
        <v>1.4</v>
      </c>
      <c r="K25" s="17">
        <f t="shared" si="0"/>
        <v>0.17559999999999998</v>
      </c>
      <c r="L25" s="13">
        <f>K25</f>
        <v>0.17559999999999998</v>
      </c>
      <c r="M25" s="23" t="s">
        <v>362</v>
      </c>
    </row>
    <row r="26" spans="1:13" ht="15">
      <c r="A26" s="42">
        <v>10</v>
      </c>
      <c r="B26" s="76" t="s">
        <v>26</v>
      </c>
      <c r="C26" s="43" t="s">
        <v>147</v>
      </c>
      <c r="D26" s="117">
        <v>0.048</v>
      </c>
      <c r="E26" s="17">
        <f>D26+'Табл.1 Текущий дефицит'!D26</f>
        <v>1.698</v>
      </c>
      <c r="F26" s="13">
        <v>1.92</v>
      </c>
      <c r="G26" s="14" t="s">
        <v>4</v>
      </c>
      <c r="H26" s="25">
        <f t="shared" si="1"/>
        <v>1.92</v>
      </c>
      <c r="I26" s="14">
        <v>0</v>
      </c>
      <c r="J26" s="13">
        <f t="shared" si="2"/>
        <v>1.92</v>
      </c>
      <c r="K26" s="13">
        <f t="shared" si="0"/>
        <v>0.22199999999999998</v>
      </c>
      <c r="L26" s="13">
        <f>MIN(K26:K26)</f>
        <v>0.22199999999999998</v>
      </c>
      <c r="M26" s="23" t="s">
        <v>362</v>
      </c>
    </row>
    <row r="27" spans="1:13" ht="28.5">
      <c r="A27" s="42">
        <v>11</v>
      </c>
      <c r="B27" s="76" t="s">
        <v>28</v>
      </c>
      <c r="C27" s="43" t="s">
        <v>151</v>
      </c>
      <c r="D27" s="117">
        <v>0.013000000000000001</v>
      </c>
      <c r="E27" s="17">
        <f>D27+'Табл.1 Текущий дефицит'!D27</f>
        <v>0.043</v>
      </c>
      <c r="F27" s="13">
        <v>1.4</v>
      </c>
      <c r="G27" s="14" t="s">
        <v>4</v>
      </c>
      <c r="H27" s="25">
        <f t="shared" si="1"/>
        <v>1.4</v>
      </c>
      <c r="I27" s="14">
        <v>0</v>
      </c>
      <c r="J27" s="13">
        <f t="shared" si="2"/>
        <v>1.4</v>
      </c>
      <c r="K27" s="13">
        <f t="shared" si="0"/>
        <v>1.357</v>
      </c>
      <c r="L27" s="13">
        <f>K27</f>
        <v>1.357</v>
      </c>
      <c r="M27" s="23" t="s">
        <v>362</v>
      </c>
    </row>
    <row r="28" spans="1:13" ht="15">
      <c r="A28" s="44">
        <v>12</v>
      </c>
      <c r="B28" s="77" t="s">
        <v>29</v>
      </c>
      <c r="C28" s="29" t="s">
        <v>152</v>
      </c>
      <c r="D28" s="116">
        <v>6.2545</v>
      </c>
      <c r="E28" s="127">
        <f>D28+'Табл.1 Текущий дефицит'!D28</f>
        <v>12.714500000000001</v>
      </c>
      <c r="F28" s="126">
        <v>6.64</v>
      </c>
      <c r="G28" s="30" t="s">
        <v>4</v>
      </c>
      <c r="H28" s="81">
        <f t="shared" si="1"/>
        <v>6.64</v>
      </c>
      <c r="I28" s="30">
        <v>0</v>
      </c>
      <c r="J28" s="45">
        <f t="shared" si="2"/>
        <v>6.64</v>
      </c>
      <c r="K28" s="115">
        <f>J28-E28</f>
        <v>-6.074500000000001</v>
      </c>
      <c r="L28" s="125">
        <f>K28</f>
        <v>-6.074500000000001</v>
      </c>
      <c r="M28" s="46" t="s">
        <v>363</v>
      </c>
    </row>
    <row r="29" spans="1:13" ht="28.5">
      <c r="A29" s="300">
        <v>13</v>
      </c>
      <c r="B29" s="76" t="s">
        <v>30</v>
      </c>
      <c r="C29" s="43" t="s">
        <v>153</v>
      </c>
      <c r="D29" s="117">
        <f>D30+D31</f>
        <v>2.1113</v>
      </c>
      <c r="E29" s="17">
        <f>D29+'Табл.1 Текущий дефицит'!D29</f>
        <v>4.5413</v>
      </c>
      <c r="F29" s="13">
        <v>7.5</v>
      </c>
      <c r="G29" s="14" t="s">
        <v>4</v>
      </c>
      <c r="H29" s="25">
        <f t="shared" si="1"/>
        <v>7.5</v>
      </c>
      <c r="I29" s="14">
        <v>0</v>
      </c>
      <c r="J29" s="13">
        <f t="shared" si="2"/>
        <v>7.5</v>
      </c>
      <c r="K29" s="13">
        <f t="shared" si="0"/>
        <v>2.9587000000000003</v>
      </c>
      <c r="L29" s="281">
        <f>MIN(K29:K31)</f>
        <v>0.549</v>
      </c>
      <c r="M29" s="303" t="s">
        <v>362</v>
      </c>
    </row>
    <row r="30" spans="1:13" ht="28.5">
      <c r="A30" s="300"/>
      <c r="B30" s="76" t="s">
        <v>348</v>
      </c>
      <c r="C30" s="43">
        <v>10</v>
      </c>
      <c r="D30" s="117">
        <f>D118+D124+D316+D319+D349</f>
        <v>2.0202999999999998</v>
      </c>
      <c r="E30" s="17">
        <f>D30+'Табл.1 Текущий дефицит'!D30</f>
        <v>3.9902999999999995</v>
      </c>
      <c r="F30" s="13">
        <v>6.4</v>
      </c>
      <c r="G30" s="14" t="s">
        <v>4</v>
      </c>
      <c r="H30" s="25">
        <f t="shared" si="1"/>
        <v>6.4</v>
      </c>
      <c r="I30" s="14">
        <v>0</v>
      </c>
      <c r="J30" s="13">
        <f t="shared" si="2"/>
        <v>6.4</v>
      </c>
      <c r="K30" s="13">
        <f t="shared" si="0"/>
        <v>2.409700000000001</v>
      </c>
      <c r="L30" s="281"/>
      <c r="M30" s="303"/>
    </row>
    <row r="31" spans="1:13" ht="28.5">
      <c r="A31" s="300"/>
      <c r="B31" s="76" t="s">
        <v>349</v>
      </c>
      <c r="C31" s="43">
        <v>10</v>
      </c>
      <c r="D31" s="117">
        <v>0.09100000000000003</v>
      </c>
      <c r="E31" s="17">
        <f>D31+'Табл.1 Текущий дефицит'!D31</f>
        <v>0.551</v>
      </c>
      <c r="F31" s="13">
        <v>1.1</v>
      </c>
      <c r="G31" s="14" t="s">
        <v>4</v>
      </c>
      <c r="H31" s="25">
        <f t="shared" si="1"/>
        <v>1.1</v>
      </c>
      <c r="I31" s="14">
        <v>0</v>
      </c>
      <c r="J31" s="13">
        <f t="shared" si="2"/>
        <v>1.1</v>
      </c>
      <c r="K31" s="13">
        <f t="shared" si="0"/>
        <v>0.549</v>
      </c>
      <c r="L31" s="281"/>
      <c r="M31" s="303"/>
    </row>
    <row r="32" spans="1:13" ht="15">
      <c r="A32" s="42">
        <v>14</v>
      </c>
      <c r="B32" s="76" t="s">
        <v>31</v>
      </c>
      <c r="C32" s="43" t="s">
        <v>151</v>
      </c>
      <c r="D32" s="117">
        <v>0.043</v>
      </c>
      <c r="E32" s="17">
        <f>D32+'Табл.1 Текущий дефицит'!D32</f>
        <v>0.5730000000000001</v>
      </c>
      <c r="F32" s="13">
        <v>0.8</v>
      </c>
      <c r="G32" s="14" t="s">
        <v>4</v>
      </c>
      <c r="H32" s="25">
        <f t="shared" si="1"/>
        <v>0.8</v>
      </c>
      <c r="I32" s="14">
        <v>0</v>
      </c>
      <c r="J32" s="13">
        <f t="shared" si="2"/>
        <v>0.8</v>
      </c>
      <c r="K32" s="13">
        <f t="shared" si="0"/>
        <v>0.22699999999999998</v>
      </c>
      <c r="L32" s="13">
        <f>K32</f>
        <v>0.22699999999999998</v>
      </c>
      <c r="M32" s="23" t="s">
        <v>362</v>
      </c>
    </row>
    <row r="33" spans="1:13" ht="15">
      <c r="A33" s="42">
        <v>15</v>
      </c>
      <c r="B33" s="76" t="s">
        <v>32</v>
      </c>
      <c r="C33" s="43" t="s">
        <v>154</v>
      </c>
      <c r="D33" s="117">
        <v>0.2</v>
      </c>
      <c r="E33" s="17">
        <f>D33+'Табл.1 Текущий дефицит'!D33</f>
        <v>0.7</v>
      </c>
      <c r="F33" s="13">
        <v>0.95</v>
      </c>
      <c r="G33" s="14" t="s">
        <v>4</v>
      </c>
      <c r="H33" s="25">
        <f t="shared" si="1"/>
        <v>0.95</v>
      </c>
      <c r="I33" s="14">
        <v>0</v>
      </c>
      <c r="J33" s="13">
        <f t="shared" si="2"/>
        <v>0.95</v>
      </c>
      <c r="K33" s="13">
        <f t="shared" si="0"/>
        <v>0.25</v>
      </c>
      <c r="L33" s="13">
        <f aca="true" t="shared" si="3" ref="L33:L96">K33</f>
        <v>0.25</v>
      </c>
      <c r="M33" s="23" t="s">
        <v>362</v>
      </c>
    </row>
    <row r="34" spans="1:13" ht="15">
      <c r="A34" s="42">
        <v>16</v>
      </c>
      <c r="B34" s="76" t="s">
        <v>33</v>
      </c>
      <c r="C34" s="43" t="s">
        <v>151</v>
      </c>
      <c r="D34" s="117"/>
      <c r="E34" s="17">
        <f>D34+'Табл.1 Текущий дефицит'!D34</f>
        <v>0.23</v>
      </c>
      <c r="F34" s="13">
        <v>0.68</v>
      </c>
      <c r="G34" s="14" t="s">
        <v>4</v>
      </c>
      <c r="H34" s="25">
        <f t="shared" si="1"/>
        <v>0.68</v>
      </c>
      <c r="I34" s="14">
        <v>0</v>
      </c>
      <c r="J34" s="13">
        <f t="shared" si="2"/>
        <v>0.68</v>
      </c>
      <c r="K34" s="13">
        <f t="shared" si="0"/>
        <v>0.45000000000000007</v>
      </c>
      <c r="L34" s="13">
        <f t="shared" si="3"/>
        <v>0.45000000000000007</v>
      </c>
      <c r="M34" s="23" t="s">
        <v>362</v>
      </c>
    </row>
    <row r="35" spans="1:13" ht="30" customHeight="1">
      <c r="A35" s="42">
        <v>17</v>
      </c>
      <c r="B35" s="76" t="s">
        <v>34</v>
      </c>
      <c r="C35" s="43" t="s">
        <v>151</v>
      </c>
      <c r="D35" s="117">
        <v>0.04</v>
      </c>
      <c r="E35" s="17">
        <f>D35+'Табл.1 Текущий дефицит'!D35</f>
        <v>0.27999999999999997</v>
      </c>
      <c r="F35" s="13">
        <v>1.43</v>
      </c>
      <c r="G35" s="14" t="s">
        <v>4</v>
      </c>
      <c r="H35" s="25">
        <f t="shared" si="1"/>
        <v>1.43</v>
      </c>
      <c r="I35" s="14">
        <v>0</v>
      </c>
      <c r="J35" s="13">
        <f t="shared" si="2"/>
        <v>1.43</v>
      </c>
      <c r="K35" s="13">
        <f t="shared" si="0"/>
        <v>1.15</v>
      </c>
      <c r="L35" s="13">
        <f t="shared" si="3"/>
        <v>1.15</v>
      </c>
      <c r="M35" s="23" t="s">
        <v>362</v>
      </c>
    </row>
    <row r="36" spans="1:13" ht="28.5">
      <c r="A36" s="42">
        <v>18</v>
      </c>
      <c r="B36" s="76" t="s">
        <v>35</v>
      </c>
      <c r="C36" s="43" t="s">
        <v>155</v>
      </c>
      <c r="D36" s="117">
        <v>0.045</v>
      </c>
      <c r="E36" s="17">
        <f>D36+'Табл.1 Текущий дефицит'!D36</f>
        <v>0.6050000000000001</v>
      </c>
      <c r="F36" s="13">
        <v>1.34</v>
      </c>
      <c r="G36" s="14" t="s">
        <v>4</v>
      </c>
      <c r="H36" s="25">
        <f t="shared" si="1"/>
        <v>1.34</v>
      </c>
      <c r="I36" s="14">
        <v>0</v>
      </c>
      <c r="J36" s="13">
        <f t="shared" si="2"/>
        <v>1.34</v>
      </c>
      <c r="K36" s="13">
        <f t="shared" si="0"/>
        <v>0.735</v>
      </c>
      <c r="L36" s="13">
        <f t="shared" si="3"/>
        <v>0.735</v>
      </c>
      <c r="M36" s="23" t="s">
        <v>362</v>
      </c>
    </row>
    <row r="37" spans="1:13" ht="28.5">
      <c r="A37" s="42">
        <v>19</v>
      </c>
      <c r="B37" s="76" t="s">
        <v>36</v>
      </c>
      <c r="C37" s="43" t="s">
        <v>151</v>
      </c>
      <c r="D37" s="117">
        <v>0.006</v>
      </c>
      <c r="E37" s="17">
        <f>D37+'Табл.1 Текущий дефицит'!D37</f>
        <v>0.796</v>
      </c>
      <c r="F37" s="13">
        <v>0.96</v>
      </c>
      <c r="G37" s="14" t="s">
        <v>4</v>
      </c>
      <c r="H37" s="25">
        <f t="shared" si="1"/>
        <v>0.96</v>
      </c>
      <c r="I37" s="14">
        <v>0</v>
      </c>
      <c r="J37" s="13">
        <f t="shared" si="2"/>
        <v>0.96</v>
      </c>
      <c r="K37" s="13">
        <f t="shared" si="0"/>
        <v>0.16399999999999992</v>
      </c>
      <c r="L37" s="13">
        <f t="shared" si="3"/>
        <v>0.16399999999999992</v>
      </c>
      <c r="M37" s="23" t="s">
        <v>362</v>
      </c>
    </row>
    <row r="38" spans="1:13" ht="28.5">
      <c r="A38" s="42">
        <v>20</v>
      </c>
      <c r="B38" s="76" t="s">
        <v>38</v>
      </c>
      <c r="C38" s="43" t="s">
        <v>157</v>
      </c>
      <c r="D38" s="117">
        <v>0.4174</v>
      </c>
      <c r="E38" s="17">
        <f>D38+'Табл.1 Текущий дефицит'!D38</f>
        <v>1.2473999999999998</v>
      </c>
      <c r="F38" s="13">
        <v>2.83</v>
      </c>
      <c r="G38" s="14" t="s">
        <v>4</v>
      </c>
      <c r="H38" s="25">
        <f t="shared" si="1"/>
        <v>2.83</v>
      </c>
      <c r="I38" s="14">
        <v>0</v>
      </c>
      <c r="J38" s="13">
        <f t="shared" si="2"/>
        <v>2.83</v>
      </c>
      <c r="K38" s="13">
        <f t="shared" si="0"/>
        <v>1.5826000000000002</v>
      </c>
      <c r="L38" s="13">
        <f t="shared" si="3"/>
        <v>1.5826000000000002</v>
      </c>
      <c r="M38" s="23" t="s">
        <v>362</v>
      </c>
    </row>
    <row r="39" spans="1:13" ht="15">
      <c r="A39" s="42">
        <v>21</v>
      </c>
      <c r="B39" s="76" t="s">
        <v>39</v>
      </c>
      <c r="C39" s="43" t="s">
        <v>156</v>
      </c>
      <c r="D39" s="117">
        <v>0.065</v>
      </c>
      <c r="E39" s="17">
        <f>D39+'Табл.1 Текущий дефицит'!D39</f>
        <v>0.425</v>
      </c>
      <c r="F39" s="13">
        <v>0.64</v>
      </c>
      <c r="G39" s="14" t="s">
        <v>4</v>
      </c>
      <c r="H39" s="25">
        <f t="shared" si="1"/>
        <v>0.64</v>
      </c>
      <c r="I39" s="14">
        <v>0</v>
      </c>
      <c r="J39" s="13">
        <f t="shared" si="2"/>
        <v>0.64</v>
      </c>
      <c r="K39" s="13">
        <f t="shared" si="0"/>
        <v>0.21500000000000002</v>
      </c>
      <c r="L39" s="13">
        <f t="shared" si="3"/>
        <v>0.21500000000000002</v>
      </c>
      <c r="M39" s="23" t="s">
        <v>362</v>
      </c>
    </row>
    <row r="40" spans="1:13" ht="15">
      <c r="A40" s="42">
        <v>22</v>
      </c>
      <c r="B40" s="76" t="s">
        <v>40</v>
      </c>
      <c r="C40" s="43" t="s">
        <v>155</v>
      </c>
      <c r="D40" s="117">
        <v>0.5960000000000001</v>
      </c>
      <c r="E40" s="17">
        <f>D40+'Табл.1 Текущий дефицит'!D40</f>
        <v>1.056</v>
      </c>
      <c r="F40" s="13">
        <v>1.43</v>
      </c>
      <c r="G40" s="14" t="s">
        <v>4</v>
      </c>
      <c r="H40" s="25">
        <f t="shared" si="1"/>
        <v>1.43</v>
      </c>
      <c r="I40" s="14">
        <v>0</v>
      </c>
      <c r="J40" s="13">
        <f t="shared" si="2"/>
        <v>1.43</v>
      </c>
      <c r="K40" s="13">
        <f t="shared" si="0"/>
        <v>0.3739999999999999</v>
      </c>
      <c r="L40" s="13">
        <f t="shared" si="3"/>
        <v>0.3739999999999999</v>
      </c>
      <c r="M40" s="23" t="s">
        <v>362</v>
      </c>
    </row>
    <row r="41" spans="1:13" ht="15">
      <c r="A41" s="42">
        <v>23</v>
      </c>
      <c r="B41" s="76" t="s">
        <v>41</v>
      </c>
      <c r="C41" s="43" t="s">
        <v>151</v>
      </c>
      <c r="D41" s="117">
        <v>0.113</v>
      </c>
      <c r="E41" s="17">
        <f>D41+'Табл.1 Текущий дефицит'!D41</f>
        <v>0.393</v>
      </c>
      <c r="F41" s="13">
        <v>2.15</v>
      </c>
      <c r="G41" s="14" t="s">
        <v>4</v>
      </c>
      <c r="H41" s="25">
        <f t="shared" si="1"/>
        <v>2.15</v>
      </c>
      <c r="I41" s="14">
        <v>0</v>
      </c>
      <c r="J41" s="13">
        <f t="shared" si="2"/>
        <v>2.15</v>
      </c>
      <c r="K41" s="13">
        <f t="shared" si="0"/>
        <v>1.757</v>
      </c>
      <c r="L41" s="13">
        <f t="shared" si="3"/>
        <v>1.757</v>
      </c>
      <c r="M41" s="23" t="s">
        <v>362</v>
      </c>
    </row>
    <row r="42" spans="1:13" ht="15">
      <c r="A42" s="42">
        <v>24</v>
      </c>
      <c r="B42" s="76" t="s">
        <v>42</v>
      </c>
      <c r="C42" s="43" t="s">
        <v>155</v>
      </c>
      <c r="D42" s="117">
        <v>0.296</v>
      </c>
      <c r="E42" s="17">
        <f>D42+'Табл.1 Текущий дефицит'!D42</f>
        <v>1.136</v>
      </c>
      <c r="F42" s="13">
        <v>1.76</v>
      </c>
      <c r="G42" s="14" t="s">
        <v>4</v>
      </c>
      <c r="H42" s="25">
        <f t="shared" si="1"/>
        <v>1.76</v>
      </c>
      <c r="I42" s="14">
        <v>0</v>
      </c>
      <c r="J42" s="13">
        <f t="shared" si="2"/>
        <v>1.76</v>
      </c>
      <c r="K42" s="13">
        <f t="shared" si="0"/>
        <v>0.6240000000000001</v>
      </c>
      <c r="L42" s="13">
        <f t="shared" si="3"/>
        <v>0.6240000000000001</v>
      </c>
      <c r="M42" s="23" t="s">
        <v>362</v>
      </c>
    </row>
    <row r="43" spans="1:13" ht="15">
      <c r="A43" s="42">
        <v>25</v>
      </c>
      <c r="B43" s="76" t="s">
        <v>351</v>
      </c>
      <c r="C43" s="43" t="s">
        <v>352</v>
      </c>
      <c r="D43" s="117"/>
      <c r="E43" s="17">
        <f>D43+'Табл.1 Текущий дефицит'!D43</f>
        <v>0.4</v>
      </c>
      <c r="F43" s="13">
        <v>0.76</v>
      </c>
      <c r="G43" s="14" t="s">
        <v>4</v>
      </c>
      <c r="H43" s="25">
        <f t="shared" si="1"/>
        <v>0.76</v>
      </c>
      <c r="I43" s="14">
        <v>0</v>
      </c>
      <c r="J43" s="13">
        <f t="shared" si="2"/>
        <v>0.76</v>
      </c>
      <c r="K43" s="13">
        <f t="shared" si="0"/>
        <v>0.36</v>
      </c>
      <c r="L43" s="13">
        <f t="shared" si="3"/>
        <v>0.36</v>
      </c>
      <c r="M43" s="23" t="s">
        <v>362</v>
      </c>
    </row>
    <row r="44" spans="1:13" ht="15">
      <c r="A44" s="42">
        <v>26</v>
      </c>
      <c r="B44" s="76" t="s">
        <v>43</v>
      </c>
      <c r="C44" s="43" t="s">
        <v>156</v>
      </c>
      <c r="D44" s="117">
        <v>0.014</v>
      </c>
      <c r="E44" s="17">
        <f>D44+'Табл.1 Текущий дефицит'!D44</f>
        <v>0.274</v>
      </c>
      <c r="F44" s="13">
        <v>0.67</v>
      </c>
      <c r="G44" s="14" t="s">
        <v>4</v>
      </c>
      <c r="H44" s="25">
        <f t="shared" si="1"/>
        <v>0.67</v>
      </c>
      <c r="I44" s="14">
        <v>0</v>
      </c>
      <c r="J44" s="13">
        <f t="shared" si="2"/>
        <v>0.67</v>
      </c>
      <c r="K44" s="13">
        <f t="shared" si="0"/>
        <v>0.396</v>
      </c>
      <c r="L44" s="13">
        <f t="shared" si="3"/>
        <v>0.396</v>
      </c>
      <c r="M44" s="23" t="s">
        <v>362</v>
      </c>
    </row>
    <row r="45" spans="1:13" ht="15">
      <c r="A45" s="42">
        <v>27</v>
      </c>
      <c r="B45" s="76" t="s">
        <v>44</v>
      </c>
      <c r="C45" s="43" t="s">
        <v>151</v>
      </c>
      <c r="D45" s="117">
        <v>0.025</v>
      </c>
      <c r="E45" s="17">
        <f>D45+'Табл.1 Текущий дефицит'!D45</f>
        <v>0.42500000000000004</v>
      </c>
      <c r="F45" s="13">
        <v>0.76</v>
      </c>
      <c r="G45" s="14" t="s">
        <v>4</v>
      </c>
      <c r="H45" s="25">
        <f t="shared" si="1"/>
        <v>0.76</v>
      </c>
      <c r="I45" s="14">
        <v>0</v>
      </c>
      <c r="J45" s="13">
        <f t="shared" si="2"/>
        <v>0.76</v>
      </c>
      <c r="K45" s="13">
        <f t="shared" si="0"/>
        <v>0.33499999999999996</v>
      </c>
      <c r="L45" s="13">
        <f t="shared" si="3"/>
        <v>0.33499999999999996</v>
      </c>
      <c r="M45" s="23" t="s">
        <v>362</v>
      </c>
    </row>
    <row r="46" spans="1:13" ht="15">
      <c r="A46" s="42">
        <v>28</v>
      </c>
      <c r="B46" s="76" t="s">
        <v>45</v>
      </c>
      <c r="C46" s="43" t="s">
        <v>158</v>
      </c>
      <c r="D46" s="117"/>
      <c r="E46" s="17">
        <f>D46+'Табл.1 Текущий дефицит'!D46</f>
        <v>0.22</v>
      </c>
      <c r="F46" s="13">
        <v>0.74</v>
      </c>
      <c r="G46" s="14" t="s">
        <v>4</v>
      </c>
      <c r="H46" s="25">
        <f t="shared" si="1"/>
        <v>0.74</v>
      </c>
      <c r="I46" s="14">
        <v>0</v>
      </c>
      <c r="J46" s="13">
        <f t="shared" si="2"/>
        <v>0.74</v>
      </c>
      <c r="K46" s="13">
        <f t="shared" si="0"/>
        <v>0.52</v>
      </c>
      <c r="L46" s="13">
        <f t="shared" si="3"/>
        <v>0.52</v>
      </c>
      <c r="M46" s="23" t="s">
        <v>362</v>
      </c>
    </row>
    <row r="47" spans="1:13" ht="28.5">
      <c r="A47" s="42">
        <v>29</v>
      </c>
      <c r="B47" s="76" t="s">
        <v>46</v>
      </c>
      <c r="C47" s="43" t="s">
        <v>154</v>
      </c>
      <c r="D47" s="117">
        <v>0.071</v>
      </c>
      <c r="E47" s="17">
        <f>D47+'Табл.1 Текущий дефицит'!D47</f>
        <v>0.731</v>
      </c>
      <c r="F47" s="13">
        <v>1.6</v>
      </c>
      <c r="G47" s="14">
        <v>50</v>
      </c>
      <c r="H47" s="25">
        <f t="shared" si="1"/>
        <v>1.6</v>
      </c>
      <c r="I47" s="14">
        <v>0</v>
      </c>
      <c r="J47" s="13">
        <f t="shared" si="2"/>
        <v>1.6</v>
      </c>
      <c r="K47" s="13">
        <f t="shared" si="0"/>
        <v>0.8690000000000001</v>
      </c>
      <c r="L47" s="13">
        <f t="shared" si="3"/>
        <v>0.8690000000000001</v>
      </c>
      <c r="M47" s="23" t="s">
        <v>362</v>
      </c>
    </row>
    <row r="48" spans="1:13" ht="28.5">
      <c r="A48" s="42">
        <v>30</v>
      </c>
      <c r="B48" s="76" t="s">
        <v>47</v>
      </c>
      <c r="C48" s="43" t="s">
        <v>156</v>
      </c>
      <c r="D48" s="117">
        <v>0.045</v>
      </c>
      <c r="E48" s="17">
        <f>D48+'Табл.1 Текущий дефицит'!D48</f>
        <v>0.265</v>
      </c>
      <c r="F48" s="13">
        <v>1</v>
      </c>
      <c r="G48" s="14" t="s">
        <v>4</v>
      </c>
      <c r="H48" s="25">
        <f t="shared" si="1"/>
        <v>1</v>
      </c>
      <c r="I48" s="14">
        <v>0</v>
      </c>
      <c r="J48" s="13">
        <f t="shared" si="2"/>
        <v>1</v>
      </c>
      <c r="K48" s="13">
        <f t="shared" si="0"/>
        <v>0.735</v>
      </c>
      <c r="L48" s="13">
        <f t="shared" si="3"/>
        <v>0.735</v>
      </c>
      <c r="M48" s="23" t="s">
        <v>362</v>
      </c>
    </row>
    <row r="49" spans="1:13" ht="15">
      <c r="A49" s="42">
        <v>31</v>
      </c>
      <c r="B49" s="76" t="s">
        <v>48</v>
      </c>
      <c r="C49" s="43" t="s">
        <v>156</v>
      </c>
      <c r="D49" s="117">
        <v>0.04</v>
      </c>
      <c r="E49" s="17">
        <f>D49+'Табл.1 Текущий дефицит'!D49</f>
        <v>0.32</v>
      </c>
      <c r="F49" s="13">
        <v>1.43</v>
      </c>
      <c r="G49" s="14" t="s">
        <v>4</v>
      </c>
      <c r="H49" s="25">
        <f t="shared" si="1"/>
        <v>1.43</v>
      </c>
      <c r="I49" s="14">
        <v>0</v>
      </c>
      <c r="J49" s="13">
        <f t="shared" si="2"/>
        <v>1.43</v>
      </c>
      <c r="K49" s="13">
        <f t="shared" si="0"/>
        <v>1.1099999999999999</v>
      </c>
      <c r="L49" s="13">
        <f t="shared" si="3"/>
        <v>1.1099999999999999</v>
      </c>
      <c r="M49" s="23" t="s">
        <v>362</v>
      </c>
    </row>
    <row r="50" spans="1:13" ht="15">
      <c r="A50" s="44">
        <v>32</v>
      </c>
      <c r="B50" s="77" t="s">
        <v>49</v>
      </c>
      <c r="C50" s="29" t="s">
        <v>155</v>
      </c>
      <c r="D50" s="116">
        <v>3.8383200000000004</v>
      </c>
      <c r="E50" s="127">
        <f>D50+'Табл.1 Текущий дефицит'!D50</f>
        <v>4.72832</v>
      </c>
      <c r="F50" s="126">
        <v>1.43</v>
      </c>
      <c r="G50" s="30" t="s">
        <v>4</v>
      </c>
      <c r="H50" s="81">
        <f t="shared" si="1"/>
        <v>1.43</v>
      </c>
      <c r="I50" s="30">
        <v>0</v>
      </c>
      <c r="J50" s="45">
        <f t="shared" si="2"/>
        <v>1.43</v>
      </c>
      <c r="K50" s="45">
        <f t="shared" si="0"/>
        <v>-3.2983200000000004</v>
      </c>
      <c r="L50" s="115">
        <f t="shared" si="3"/>
        <v>-3.2983200000000004</v>
      </c>
      <c r="M50" s="46" t="s">
        <v>363</v>
      </c>
    </row>
    <row r="51" spans="1:13" ht="15">
      <c r="A51" s="42">
        <v>33</v>
      </c>
      <c r="B51" s="76" t="s">
        <v>50</v>
      </c>
      <c r="C51" s="43" t="s">
        <v>151</v>
      </c>
      <c r="D51" s="117"/>
      <c r="E51" s="17">
        <f>D51+'Табл.1 Текущий дефицит'!D51</f>
        <v>0.11</v>
      </c>
      <c r="F51" s="13">
        <v>2.15</v>
      </c>
      <c r="G51" s="14" t="s">
        <v>4</v>
      </c>
      <c r="H51" s="25">
        <f t="shared" si="1"/>
        <v>2.15</v>
      </c>
      <c r="I51" s="14">
        <v>0</v>
      </c>
      <c r="J51" s="13">
        <f t="shared" si="2"/>
        <v>2.15</v>
      </c>
      <c r="K51" s="13">
        <f t="shared" si="0"/>
        <v>2.04</v>
      </c>
      <c r="L51" s="13">
        <f t="shared" si="3"/>
        <v>2.04</v>
      </c>
      <c r="M51" s="23" t="s">
        <v>362</v>
      </c>
    </row>
    <row r="52" spans="1:13" ht="15">
      <c r="A52" s="42">
        <v>34</v>
      </c>
      <c r="B52" s="76" t="s">
        <v>51</v>
      </c>
      <c r="C52" s="43" t="s">
        <v>151</v>
      </c>
      <c r="D52" s="117">
        <v>0.09300000000000001</v>
      </c>
      <c r="E52" s="17">
        <f>D52+'Табл.1 Текущий дефицит'!D52</f>
        <v>0.553</v>
      </c>
      <c r="F52" s="13">
        <v>0.8</v>
      </c>
      <c r="G52" s="14" t="s">
        <v>4</v>
      </c>
      <c r="H52" s="25">
        <f t="shared" si="1"/>
        <v>0.8</v>
      </c>
      <c r="I52" s="14">
        <v>0</v>
      </c>
      <c r="J52" s="13">
        <f t="shared" si="2"/>
        <v>0.8</v>
      </c>
      <c r="K52" s="13">
        <f t="shared" si="0"/>
        <v>0.247</v>
      </c>
      <c r="L52" s="13">
        <f t="shared" si="3"/>
        <v>0.247</v>
      </c>
      <c r="M52" s="23" t="s">
        <v>362</v>
      </c>
    </row>
    <row r="53" spans="1:13" ht="28.5">
      <c r="A53" s="42">
        <v>35</v>
      </c>
      <c r="B53" s="76" t="s">
        <v>52</v>
      </c>
      <c r="C53" s="43" t="s">
        <v>151</v>
      </c>
      <c r="D53" s="117">
        <v>0.06</v>
      </c>
      <c r="E53" s="17">
        <f>D53+'Табл.1 Текущий дефицит'!D53</f>
        <v>0.6599999999999999</v>
      </c>
      <c r="F53" s="13">
        <v>1.05</v>
      </c>
      <c r="G53" s="14" t="s">
        <v>4</v>
      </c>
      <c r="H53" s="25">
        <f t="shared" si="1"/>
        <v>1.05</v>
      </c>
      <c r="I53" s="14">
        <v>0</v>
      </c>
      <c r="J53" s="13">
        <f t="shared" si="2"/>
        <v>1.05</v>
      </c>
      <c r="K53" s="13">
        <f t="shared" si="0"/>
        <v>0.3900000000000001</v>
      </c>
      <c r="L53" s="13">
        <f t="shared" si="3"/>
        <v>0.3900000000000001</v>
      </c>
      <c r="M53" s="23" t="s">
        <v>362</v>
      </c>
    </row>
    <row r="54" spans="1:13" ht="28.5">
      <c r="A54" s="44">
        <v>36</v>
      </c>
      <c r="B54" s="77" t="s">
        <v>53</v>
      </c>
      <c r="C54" s="29" t="s">
        <v>155</v>
      </c>
      <c r="D54" s="116">
        <v>4.858999999999999</v>
      </c>
      <c r="E54" s="127">
        <f>D54+'Табл.1 Текущий дефицит'!D54</f>
        <v>6.618999999999999</v>
      </c>
      <c r="F54" s="126">
        <v>2.72</v>
      </c>
      <c r="G54" s="30" t="s">
        <v>4</v>
      </c>
      <c r="H54" s="81">
        <f t="shared" si="1"/>
        <v>2.72</v>
      </c>
      <c r="I54" s="30">
        <v>0</v>
      </c>
      <c r="J54" s="45">
        <f t="shared" si="2"/>
        <v>2.72</v>
      </c>
      <c r="K54" s="45">
        <f t="shared" si="0"/>
        <v>-3.8989999999999987</v>
      </c>
      <c r="L54" s="45">
        <f t="shared" si="3"/>
        <v>-3.8989999999999987</v>
      </c>
      <c r="M54" s="46" t="s">
        <v>363</v>
      </c>
    </row>
    <row r="55" spans="1:13" ht="15">
      <c r="A55" s="42">
        <v>37</v>
      </c>
      <c r="B55" s="76" t="s">
        <v>54</v>
      </c>
      <c r="C55" s="43" t="s">
        <v>151</v>
      </c>
      <c r="D55" s="117"/>
      <c r="E55" s="17">
        <f>D55+'Табл.1 Текущий дефицит'!D55</f>
        <v>0.3</v>
      </c>
      <c r="F55" s="13">
        <v>1.1</v>
      </c>
      <c r="G55" s="14" t="s">
        <v>4</v>
      </c>
      <c r="H55" s="25">
        <f t="shared" si="1"/>
        <v>1.1</v>
      </c>
      <c r="I55" s="14">
        <v>0</v>
      </c>
      <c r="J55" s="13">
        <f t="shared" si="2"/>
        <v>1.1</v>
      </c>
      <c r="K55" s="13">
        <f t="shared" si="0"/>
        <v>0.8</v>
      </c>
      <c r="L55" s="13">
        <f t="shared" si="3"/>
        <v>0.8</v>
      </c>
      <c r="M55" s="23" t="s">
        <v>362</v>
      </c>
    </row>
    <row r="56" spans="1:13" ht="28.5">
      <c r="A56" s="42">
        <v>38</v>
      </c>
      <c r="B56" s="76" t="s">
        <v>55</v>
      </c>
      <c r="C56" s="43" t="s">
        <v>151</v>
      </c>
      <c r="D56" s="117">
        <v>0.014</v>
      </c>
      <c r="E56" s="17">
        <f>D56+'Табл.1 Текущий дефицит'!D56</f>
        <v>0.734</v>
      </c>
      <c r="F56" s="13">
        <v>0.9</v>
      </c>
      <c r="G56" s="14" t="s">
        <v>4</v>
      </c>
      <c r="H56" s="25">
        <f t="shared" si="1"/>
        <v>0.9</v>
      </c>
      <c r="I56" s="14">
        <v>0</v>
      </c>
      <c r="J56" s="13">
        <f t="shared" si="2"/>
        <v>0.9</v>
      </c>
      <c r="K56" s="13">
        <f t="shared" si="0"/>
        <v>0.16600000000000004</v>
      </c>
      <c r="L56" s="13">
        <f t="shared" si="3"/>
        <v>0.16600000000000004</v>
      </c>
      <c r="M56" s="23" t="s">
        <v>362</v>
      </c>
    </row>
    <row r="57" spans="1:13" ht="15">
      <c r="A57" s="42">
        <v>39</v>
      </c>
      <c r="B57" s="76" t="s">
        <v>56</v>
      </c>
      <c r="C57" s="43" t="s">
        <v>155</v>
      </c>
      <c r="D57" s="117">
        <v>0.02</v>
      </c>
      <c r="E57" s="17">
        <f>D57+'Табл.1 Текущий дефицит'!D57</f>
        <v>0.84</v>
      </c>
      <c r="F57" s="13">
        <v>2.1</v>
      </c>
      <c r="G57" s="14" t="s">
        <v>4</v>
      </c>
      <c r="H57" s="25">
        <f t="shared" si="1"/>
        <v>2.1</v>
      </c>
      <c r="I57" s="14">
        <v>0</v>
      </c>
      <c r="J57" s="13">
        <f t="shared" si="2"/>
        <v>2.1</v>
      </c>
      <c r="K57" s="13">
        <f t="shared" si="0"/>
        <v>1.2600000000000002</v>
      </c>
      <c r="L57" s="13">
        <f t="shared" si="3"/>
        <v>1.2600000000000002</v>
      </c>
      <c r="M57" s="23" t="s">
        <v>362</v>
      </c>
    </row>
    <row r="58" spans="1:13" ht="15">
      <c r="A58" s="42">
        <v>40</v>
      </c>
      <c r="B58" s="76" t="s">
        <v>57</v>
      </c>
      <c r="C58" s="43" t="s">
        <v>151</v>
      </c>
      <c r="D58" s="117">
        <v>0.032</v>
      </c>
      <c r="E58" s="17">
        <f>D58+'Табл.1 Текущий дефицит'!D58</f>
        <v>0.482</v>
      </c>
      <c r="F58" s="13">
        <v>2.15</v>
      </c>
      <c r="G58" s="14" t="s">
        <v>4</v>
      </c>
      <c r="H58" s="25">
        <f t="shared" si="1"/>
        <v>2.15</v>
      </c>
      <c r="I58" s="14">
        <v>0</v>
      </c>
      <c r="J58" s="13">
        <f t="shared" si="2"/>
        <v>2.15</v>
      </c>
      <c r="K58" s="13">
        <f t="shared" si="0"/>
        <v>1.668</v>
      </c>
      <c r="L58" s="13">
        <f t="shared" si="3"/>
        <v>1.668</v>
      </c>
      <c r="M58" s="23" t="s">
        <v>362</v>
      </c>
    </row>
    <row r="59" spans="1:13" ht="15">
      <c r="A59" s="42">
        <v>41</v>
      </c>
      <c r="B59" s="76" t="s">
        <v>58</v>
      </c>
      <c r="C59" s="43" t="s">
        <v>151</v>
      </c>
      <c r="D59" s="117">
        <v>0.032</v>
      </c>
      <c r="E59" s="17">
        <f>D59+'Табл.1 Текущий дефицит'!D59</f>
        <v>0.242</v>
      </c>
      <c r="F59" s="13">
        <v>1.8</v>
      </c>
      <c r="G59" s="14" t="s">
        <v>4</v>
      </c>
      <c r="H59" s="25">
        <f t="shared" si="1"/>
        <v>1.8</v>
      </c>
      <c r="I59" s="14">
        <v>0</v>
      </c>
      <c r="J59" s="13">
        <f t="shared" si="2"/>
        <v>1.8</v>
      </c>
      <c r="K59" s="13">
        <f t="shared" si="0"/>
        <v>1.558</v>
      </c>
      <c r="L59" s="13">
        <f t="shared" si="3"/>
        <v>1.558</v>
      </c>
      <c r="M59" s="23" t="s">
        <v>362</v>
      </c>
    </row>
    <row r="60" spans="1:13" ht="28.5">
      <c r="A60" s="42">
        <v>42</v>
      </c>
      <c r="B60" s="76" t="s">
        <v>59</v>
      </c>
      <c r="C60" s="43" t="s">
        <v>151</v>
      </c>
      <c r="D60" s="117">
        <v>0.14</v>
      </c>
      <c r="E60" s="17">
        <f>D60+'Табл.1 Текущий дефицит'!D60</f>
        <v>0.35</v>
      </c>
      <c r="F60" s="13">
        <v>1.5</v>
      </c>
      <c r="G60" s="14" t="s">
        <v>4</v>
      </c>
      <c r="H60" s="25">
        <f t="shared" si="1"/>
        <v>1.5</v>
      </c>
      <c r="I60" s="14">
        <v>0</v>
      </c>
      <c r="J60" s="13">
        <f t="shared" si="2"/>
        <v>1.5</v>
      </c>
      <c r="K60" s="13">
        <f t="shared" si="0"/>
        <v>1.15</v>
      </c>
      <c r="L60" s="13">
        <f t="shared" si="3"/>
        <v>1.15</v>
      </c>
      <c r="M60" s="23" t="s">
        <v>362</v>
      </c>
    </row>
    <row r="61" spans="1:13" ht="15">
      <c r="A61" s="42">
        <v>43</v>
      </c>
      <c r="B61" s="76" t="s">
        <v>60</v>
      </c>
      <c r="C61" s="43" t="s">
        <v>151</v>
      </c>
      <c r="D61" s="117">
        <v>0.02</v>
      </c>
      <c r="E61" s="17">
        <f>D61+'Табл.1 Текущий дефицит'!D61</f>
        <v>1.28</v>
      </c>
      <c r="F61" s="13">
        <v>1.5</v>
      </c>
      <c r="G61" s="14" t="s">
        <v>4</v>
      </c>
      <c r="H61" s="25">
        <f t="shared" si="1"/>
        <v>1.5</v>
      </c>
      <c r="I61" s="14">
        <v>0</v>
      </c>
      <c r="J61" s="13">
        <f t="shared" si="2"/>
        <v>1.5</v>
      </c>
      <c r="K61" s="13">
        <f t="shared" si="0"/>
        <v>0.21999999999999997</v>
      </c>
      <c r="L61" s="13">
        <f t="shared" si="3"/>
        <v>0.21999999999999997</v>
      </c>
      <c r="M61" s="23" t="s">
        <v>362</v>
      </c>
    </row>
    <row r="62" spans="1:13" ht="15">
      <c r="A62" s="42">
        <v>44</v>
      </c>
      <c r="B62" s="76" t="s">
        <v>61</v>
      </c>
      <c r="C62" s="43" t="s">
        <v>151</v>
      </c>
      <c r="D62" s="117">
        <v>0.068</v>
      </c>
      <c r="E62" s="17">
        <f>D62+'Табл.1 Текущий дефицит'!D62</f>
        <v>0.5980000000000001</v>
      </c>
      <c r="F62" s="13">
        <v>1.4</v>
      </c>
      <c r="G62" s="14" t="s">
        <v>4</v>
      </c>
      <c r="H62" s="25">
        <f t="shared" si="1"/>
        <v>1.4</v>
      </c>
      <c r="I62" s="14">
        <v>0</v>
      </c>
      <c r="J62" s="13">
        <f t="shared" si="2"/>
        <v>1.4</v>
      </c>
      <c r="K62" s="13">
        <f t="shared" si="0"/>
        <v>0.8019999999999998</v>
      </c>
      <c r="L62" s="13">
        <f t="shared" si="3"/>
        <v>0.8019999999999998</v>
      </c>
      <c r="M62" s="23" t="s">
        <v>362</v>
      </c>
    </row>
    <row r="63" spans="1:13" ht="15">
      <c r="A63" s="42">
        <v>45</v>
      </c>
      <c r="B63" s="76" t="s">
        <v>62</v>
      </c>
      <c r="C63" s="43" t="s">
        <v>156</v>
      </c>
      <c r="D63" s="117">
        <v>0.07</v>
      </c>
      <c r="E63" s="17">
        <f>D63+'Табл.1 Текущий дефицит'!D63</f>
        <v>0.37</v>
      </c>
      <c r="F63" s="13">
        <v>0.7</v>
      </c>
      <c r="G63" s="14" t="s">
        <v>4</v>
      </c>
      <c r="H63" s="25">
        <f t="shared" si="1"/>
        <v>0.7</v>
      </c>
      <c r="I63" s="14">
        <v>0</v>
      </c>
      <c r="J63" s="13">
        <f t="shared" si="2"/>
        <v>0.7</v>
      </c>
      <c r="K63" s="13">
        <f t="shared" si="0"/>
        <v>0.32999999999999996</v>
      </c>
      <c r="L63" s="13">
        <f t="shared" si="3"/>
        <v>0.32999999999999996</v>
      </c>
      <c r="M63" s="23" t="s">
        <v>362</v>
      </c>
    </row>
    <row r="64" spans="1:13" ht="15">
      <c r="A64" s="42">
        <v>46</v>
      </c>
      <c r="B64" s="76" t="s">
        <v>63</v>
      </c>
      <c r="C64" s="43" t="s">
        <v>156</v>
      </c>
      <c r="D64" s="117">
        <v>0.058</v>
      </c>
      <c r="E64" s="17">
        <f>D64+'Табл.1 Текущий дефицит'!D64</f>
        <v>0.628</v>
      </c>
      <c r="F64" s="13">
        <v>0.76</v>
      </c>
      <c r="G64" s="14" t="s">
        <v>4</v>
      </c>
      <c r="H64" s="25">
        <f t="shared" si="1"/>
        <v>0.76</v>
      </c>
      <c r="I64" s="14">
        <v>0</v>
      </c>
      <c r="J64" s="13">
        <f t="shared" si="2"/>
        <v>0.76</v>
      </c>
      <c r="K64" s="13">
        <f t="shared" si="0"/>
        <v>0.132</v>
      </c>
      <c r="L64" s="13">
        <f t="shared" si="3"/>
        <v>0.132</v>
      </c>
      <c r="M64" s="23" t="s">
        <v>362</v>
      </c>
    </row>
    <row r="65" spans="1:13" ht="15">
      <c r="A65" s="42">
        <v>47</v>
      </c>
      <c r="B65" s="76" t="s">
        <v>64</v>
      </c>
      <c r="C65" s="43" t="s">
        <v>151</v>
      </c>
      <c r="D65" s="117">
        <v>0.065</v>
      </c>
      <c r="E65" s="17">
        <f>D65+'Табл.1 Текущий дефицит'!D65</f>
        <v>0.565</v>
      </c>
      <c r="F65" s="13">
        <v>1.1</v>
      </c>
      <c r="G65" s="14" t="s">
        <v>4</v>
      </c>
      <c r="H65" s="25">
        <f t="shared" si="1"/>
        <v>1.1</v>
      </c>
      <c r="I65" s="14">
        <v>0</v>
      </c>
      <c r="J65" s="13">
        <f t="shared" si="2"/>
        <v>1.1</v>
      </c>
      <c r="K65" s="13">
        <f t="shared" si="0"/>
        <v>0.5350000000000001</v>
      </c>
      <c r="L65" s="13">
        <f t="shared" si="3"/>
        <v>0.5350000000000001</v>
      </c>
      <c r="M65" s="23" t="s">
        <v>362</v>
      </c>
    </row>
    <row r="66" spans="1:13" ht="28.5">
      <c r="A66" s="42">
        <v>48</v>
      </c>
      <c r="B66" s="76" t="s">
        <v>65</v>
      </c>
      <c r="C66" s="43" t="s">
        <v>151</v>
      </c>
      <c r="D66" s="117">
        <v>0.0107</v>
      </c>
      <c r="E66" s="17">
        <f>D66+'Табл.1 Текущий дефицит'!D66</f>
        <v>0.8607</v>
      </c>
      <c r="F66" s="13">
        <v>1.43</v>
      </c>
      <c r="G66" s="14" t="s">
        <v>4</v>
      </c>
      <c r="H66" s="25">
        <f t="shared" si="1"/>
        <v>1.43</v>
      </c>
      <c r="I66" s="14">
        <v>0</v>
      </c>
      <c r="J66" s="13">
        <f t="shared" si="2"/>
        <v>1.43</v>
      </c>
      <c r="K66" s="13">
        <f t="shared" si="0"/>
        <v>0.5692999999999999</v>
      </c>
      <c r="L66" s="13">
        <f t="shared" si="3"/>
        <v>0.5692999999999999</v>
      </c>
      <c r="M66" s="23" t="s">
        <v>362</v>
      </c>
    </row>
    <row r="67" spans="1:13" ht="28.5">
      <c r="A67" s="42">
        <v>49</v>
      </c>
      <c r="B67" s="76" t="s">
        <v>66</v>
      </c>
      <c r="C67" s="43" t="s">
        <v>151</v>
      </c>
      <c r="D67" s="117">
        <v>0.077</v>
      </c>
      <c r="E67" s="17">
        <f>D67+'Табл.1 Текущий дефицит'!D67</f>
        <v>1.037</v>
      </c>
      <c r="F67" s="13">
        <v>1.43</v>
      </c>
      <c r="G67" s="14" t="s">
        <v>4</v>
      </c>
      <c r="H67" s="25">
        <f t="shared" si="1"/>
        <v>1.43</v>
      </c>
      <c r="I67" s="14">
        <v>0</v>
      </c>
      <c r="J67" s="13">
        <f t="shared" si="2"/>
        <v>1.43</v>
      </c>
      <c r="K67" s="13">
        <f aca="true" t="shared" si="4" ref="K67:K130">J67-E67</f>
        <v>0.393</v>
      </c>
      <c r="L67" s="13">
        <f t="shared" si="3"/>
        <v>0.393</v>
      </c>
      <c r="M67" s="23" t="s">
        <v>362</v>
      </c>
    </row>
    <row r="68" spans="1:13" ht="15">
      <c r="A68" s="42">
        <v>50</v>
      </c>
      <c r="B68" s="76" t="s">
        <v>67</v>
      </c>
      <c r="C68" s="43" t="s">
        <v>151</v>
      </c>
      <c r="D68" s="117">
        <v>0.032</v>
      </c>
      <c r="E68" s="17">
        <f>D68+'Табл.1 Текущий дефицит'!D68</f>
        <v>0.642</v>
      </c>
      <c r="F68" s="13">
        <v>2.85</v>
      </c>
      <c r="G68" s="14" t="s">
        <v>4</v>
      </c>
      <c r="H68" s="25">
        <f aca="true" t="shared" si="5" ref="H68:H131">F68</f>
        <v>2.85</v>
      </c>
      <c r="I68" s="14">
        <v>0</v>
      </c>
      <c r="J68" s="13">
        <f aca="true" t="shared" si="6" ref="J68:J131">H68-I68</f>
        <v>2.85</v>
      </c>
      <c r="K68" s="13">
        <f t="shared" si="4"/>
        <v>2.208</v>
      </c>
      <c r="L68" s="13">
        <f t="shared" si="3"/>
        <v>2.208</v>
      </c>
      <c r="M68" s="23" t="s">
        <v>362</v>
      </c>
    </row>
    <row r="69" spans="1:13" ht="15">
      <c r="A69" s="42">
        <v>51</v>
      </c>
      <c r="B69" s="76" t="s">
        <v>68</v>
      </c>
      <c r="C69" s="43" t="s">
        <v>156</v>
      </c>
      <c r="D69" s="117">
        <v>0.013999999999999999</v>
      </c>
      <c r="E69" s="17">
        <f>D69+'Табл.1 Текущий дефицит'!D69</f>
        <v>0.274</v>
      </c>
      <c r="F69" s="13">
        <v>0.94</v>
      </c>
      <c r="G69" s="14" t="s">
        <v>4</v>
      </c>
      <c r="H69" s="25">
        <f t="shared" si="5"/>
        <v>0.94</v>
      </c>
      <c r="I69" s="14">
        <v>0</v>
      </c>
      <c r="J69" s="13">
        <f t="shared" si="6"/>
        <v>0.94</v>
      </c>
      <c r="K69" s="13">
        <f t="shared" si="4"/>
        <v>0.6659999999999999</v>
      </c>
      <c r="L69" s="13">
        <f t="shared" si="3"/>
        <v>0.6659999999999999</v>
      </c>
      <c r="M69" s="23" t="s">
        <v>362</v>
      </c>
    </row>
    <row r="70" spans="1:13" ht="15">
      <c r="A70" s="42">
        <v>52</v>
      </c>
      <c r="B70" s="76" t="s">
        <v>69</v>
      </c>
      <c r="C70" s="43" t="s">
        <v>151</v>
      </c>
      <c r="D70" s="117">
        <v>0.056</v>
      </c>
      <c r="E70" s="17">
        <f>D70+'Табл.1 Текущий дефицит'!D70</f>
        <v>0.456</v>
      </c>
      <c r="F70" s="13">
        <v>1.8</v>
      </c>
      <c r="G70" s="14" t="s">
        <v>4</v>
      </c>
      <c r="H70" s="25">
        <f t="shared" si="5"/>
        <v>1.8</v>
      </c>
      <c r="I70" s="14">
        <v>0</v>
      </c>
      <c r="J70" s="13">
        <f t="shared" si="6"/>
        <v>1.8</v>
      </c>
      <c r="K70" s="13">
        <f t="shared" si="4"/>
        <v>1.344</v>
      </c>
      <c r="L70" s="13">
        <f t="shared" si="3"/>
        <v>1.344</v>
      </c>
      <c r="M70" s="23" t="s">
        <v>362</v>
      </c>
    </row>
    <row r="71" spans="1:13" ht="15">
      <c r="A71" s="42">
        <v>53</v>
      </c>
      <c r="B71" s="76" t="s">
        <v>70</v>
      </c>
      <c r="C71" s="43" t="s">
        <v>151</v>
      </c>
      <c r="D71" s="117">
        <v>0.079</v>
      </c>
      <c r="E71" s="17">
        <f>D71+'Табл.1 Текущий дефицит'!D71</f>
        <v>0.689</v>
      </c>
      <c r="F71" s="13">
        <v>0.8</v>
      </c>
      <c r="G71" s="14" t="s">
        <v>4</v>
      </c>
      <c r="H71" s="25">
        <f t="shared" si="5"/>
        <v>0.8</v>
      </c>
      <c r="I71" s="14">
        <v>0</v>
      </c>
      <c r="J71" s="13">
        <f t="shared" si="6"/>
        <v>0.8</v>
      </c>
      <c r="K71" s="13">
        <f t="shared" si="4"/>
        <v>0.1110000000000001</v>
      </c>
      <c r="L71" s="13">
        <f t="shared" si="3"/>
        <v>0.1110000000000001</v>
      </c>
      <c r="M71" s="23" t="s">
        <v>362</v>
      </c>
    </row>
    <row r="72" spans="1:13" ht="28.5">
      <c r="A72" s="42">
        <v>54</v>
      </c>
      <c r="B72" s="76" t="s">
        <v>71</v>
      </c>
      <c r="C72" s="43" t="s">
        <v>154</v>
      </c>
      <c r="D72" s="117">
        <v>0.07525</v>
      </c>
      <c r="E72" s="17">
        <f>D72+'Табл.1 Текущий дефицит'!D72</f>
        <v>0.40525</v>
      </c>
      <c r="F72" s="13">
        <v>1.07</v>
      </c>
      <c r="G72" s="14" t="s">
        <v>4</v>
      </c>
      <c r="H72" s="25">
        <f t="shared" si="5"/>
        <v>1.07</v>
      </c>
      <c r="I72" s="14">
        <v>0</v>
      </c>
      <c r="J72" s="13">
        <f t="shared" si="6"/>
        <v>1.07</v>
      </c>
      <c r="K72" s="13">
        <f t="shared" si="4"/>
        <v>0.6647500000000001</v>
      </c>
      <c r="L72" s="13">
        <f t="shared" si="3"/>
        <v>0.6647500000000001</v>
      </c>
      <c r="M72" s="23" t="s">
        <v>362</v>
      </c>
    </row>
    <row r="73" spans="1:13" ht="15">
      <c r="A73" s="42">
        <v>55</v>
      </c>
      <c r="B73" s="76" t="s">
        <v>72</v>
      </c>
      <c r="C73" s="43" t="s">
        <v>151</v>
      </c>
      <c r="D73" s="117">
        <v>0.07100000000000001</v>
      </c>
      <c r="E73" s="17">
        <f>D73+'Табл.1 Текущий дефицит'!D73</f>
        <v>0.371</v>
      </c>
      <c r="F73" s="13">
        <v>0.85</v>
      </c>
      <c r="G73" s="14" t="s">
        <v>4</v>
      </c>
      <c r="H73" s="25">
        <f t="shared" si="5"/>
        <v>0.85</v>
      </c>
      <c r="I73" s="14">
        <v>0</v>
      </c>
      <c r="J73" s="13">
        <f t="shared" si="6"/>
        <v>0.85</v>
      </c>
      <c r="K73" s="13">
        <f t="shared" si="4"/>
        <v>0.479</v>
      </c>
      <c r="L73" s="13">
        <f t="shared" si="3"/>
        <v>0.479</v>
      </c>
      <c r="M73" s="23" t="s">
        <v>362</v>
      </c>
    </row>
    <row r="74" spans="1:13" ht="15">
      <c r="A74" s="42">
        <v>56</v>
      </c>
      <c r="B74" s="76" t="s">
        <v>73</v>
      </c>
      <c r="C74" s="43" t="s">
        <v>156</v>
      </c>
      <c r="D74" s="117">
        <v>0.611</v>
      </c>
      <c r="E74" s="17">
        <f>D74+'Табл.1 Текущий дефицит'!D74</f>
        <v>0.971</v>
      </c>
      <c r="F74" s="13">
        <v>2.15</v>
      </c>
      <c r="G74" s="14" t="s">
        <v>4</v>
      </c>
      <c r="H74" s="25">
        <f t="shared" si="5"/>
        <v>2.15</v>
      </c>
      <c r="I74" s="14">
        <v>0</v>
      </c>
      <c r="J74" s="13">
        <f t="shared" si="6"/>
        <v>2.15</v>
      </c>
      <c r="K74" s="13">
        <f t="shared" si="4"/>
        <v>1.1789999999999998</v>
      </c>
      <c r="L74" s="13">
        <f t="shared" si="3"/>
        <v>1.1789999999999998</v>
      </c>
      <c r="M74" s="23" t="s">
        <v>362</v>
      </c>
    </row>
    <row r="75" spans="1:13" ht="15">
      <c r="A75" s="42">
        <v>57</v>
      </c>
      <c r="B75" s="76" t="s">
        <v>74</v>
      </c>
      <c r="C75" s="43" t="s">
        <v>151</v>
      </c>
      <c r="D75" s="117">
        <v>0.08</v>
      </c>
      <c r="E75" s="17">
        <f>D75+'Табл.1 Текущий дефицит'!D75</f>
        <v>0.57</v>
      </c>
      <c r="F75" s="13">
        <v>0.84</v>
      </c>
      <c r="G75" s="14" t="s">
        <v>4</v>
      </c>
      <c r="H75" s="25">
        <f t="shared" si="5"/>
        <v>0.84</v>
      </c>
      <c r="I75" s="14">
        <v>0</v>
      </c>
      <c r="J75" s="13">
        <f t="shared" si="6"/>
        <v>0.84</v>
      </c>
      <c r="K75" s="13">
        <f t="shared" si="4"/>
        <v>0.27</v>
      </c>
      <c r="L75" s="13">
        <f t="shared" si="3"/>
        <v>0.27</v>
      </c>
      <c r="M75" s="23" t="s">
        <v>362</v>
      </c>
    </row>
    <row r="76" spans="1:13" ht="15">
      <c r="A76" s="42">
        <v>58</v>
      </c>
      <c r="B76" s="76" t="s">
        <v>75</v>
      </c>
      <c r="C76" s="43" t="s">
        <v>154</v>
      </c>
      <c r="D76" s="117">
        <v>0.008</v>
      </c>
      <c r="E76" s="17">
        <f>D76+'Табл.1 Текущий дефицит'!D76</f>
        <v>1.018</v>
      </c>
      <c r="F76" s="13">
        <v>2.15</v>
      </c>
      <c r="G76" s="14" t="s">
        <v>4</v>
      </c>
      <c r="H76" s="25">
        <f t="shared" si="5"/>
        <v>2.15</v>
      </c>
      <c r="I76" s="14">
        <v>0</v>
      </c>
      <c r="J76" s="13">
        <f t="shared" si="6"/>
        <v>2.15</v>
      </c>
      <c r="K76" s="13">
        <f t="shared" si="4"/>
        <v>1.132</v>
      </c>
      <c r="L76" s="13">
        <f t="shared" si="3"/>
        <v>1.132</v>
      </c>
      <c r="M76" s="23" t="s">
        <v>362</v>
      </c>
    </row>
    <row r="77" spans="1:13" ht="15">
      <c r="A77" s="42">
        <v>59</v>
      </c>
      <c r="B77" s="76" t="s">
        <v>76</v>
      </c>
      <c r="C77" s="43" t="s">
        <v>151</v>
      </c>
      <c r="D77" s="117">
        <v>0.058</v>
      </c>
      <c r="E77" s="17">
        <f>D77+'Табл.1 Текущий дефицит'!D77</f>
        <v>0.258</v>
      </c>
      <c r="F77" s="13">
        <v>0.58</v>
      </c>
      <c r="G77" s="14" t="s">
        <v>4</v>
      </c>
      <c r="H77" s="25">
        <f t="shared" si="5"/>
        <v>0.58</v>
      </c>
      <c r="I77" s="14">
        <v>0</v>
      </c>
      <c r="J77" s="13">
        <f t="shared" si="6"/>
        <v>0.58</v>
      </c>
      <c r="K77" s="13">
        <f t="shared" si="4"/>
        <v>0.32199999999999995</v>
      </c>
      <c r="L77" s="13">
        <f t="shared" si="3"/>
        <v>0.32199999999999995</v>
      </c>
      <c r="M77" s="23" t="s">
        <v>362</v>
      </c>
    </row>
    <row r="78" spans="1:13" ht="15">
      <c r="A78" s="42">
        <v>60</v>
      </c>
      <c r="B78" s="76" t="s">
        <v>77</v>
      </c>
      <c r="C78" s="43" t="s">
        <v>155</v>
      </c>
      <c r="D78" s="117">
        <v>0.009</v>
      </c>
      <c r="E78" s="17">
        <f>D78+'Табл.1 Текущий дефицит'!D78</f>
        <v>0.419</v>
      </c>
      <c r="F78" s="13">
        <v>0.8</v>
      </c>
      <c r="G78" s="14" t="s">
        <v>4</v>
      </c>
      <c r="H78" s="25">
        <f t="shared" si="5"/>
        <v>0.8</v>
      </c>
      <c r="I78" s="14">
        <v>0</v>
      </c>
      <c r="J78" s="13">
        <f t="shared" si="6"/>
        <v>0.8</v>
      </c>
      <c r="K78" s="13">
        <f t="shared" si="4"/>
        <v>0.38100000000000006</v>
      </c>
      <c r="L78" s="13">
        <f t="shared" si="3"/>
        <v>0.38100000000000006</v>
      </c>
      <c r="M78" s="23" t="s">
        <v>362</v>
      </c>
    </row>
    <row r="79" spans="1:13" ht="28.5">
      <c r="A79" s="42">
        <v>61</v>
      </c>
      <c r="B79" s="76" t="s">
        <v>78</v>
      </c>
      <c r="C79" s="43" t="s">
        <v>151</v>
      </c>
      <c r="D79" s="117">
        <v>0.06</v>
      </c>
      <c r="E79" s="17">
        <f>D79+'Табл.1 Текущий дефицит'!D79</f>
        <v>0.19</v>
      </c>
      <c r="F79" s="13">
        <v>1.8</v>
      </c>
      <c r="G79" s="14" t="s">
        <v>4</v>
      </c>
      <c r="H79" s="25">
        <f t="shared" si="5"/>
        <v>1.8</v>
      </c>
      <c r="I79" s="14">
        <v>0</v>
      </c>
      <c r="J79" s="13">
        <f t="shared" si="6"/>
        <v>1.8</v>
      </c>
      <c r="K79" s="13">
        <f t="shared" si="4"/>
        <v>1.61</v>
      </c>
      <c r="L79" s="13">
        <f t="shared" si="3"/>
        <v>1.61</v>
      </c>
      <c r="M79" s="23" t="s">
        <v>362</v>
      </c>
    </row>
    <row r="80" spans="1:13" ht="15">
      <c r="A80" s="42">
        <v>62</v>
      </c>
      <c r="B80" s="76" t="s">
        <v>79</v>
      </c>
      <c r="C80" s="43" t="s">
        <v>156</v>
      </c>
      <c r="D80" s="117">
        <v>0.015</v>
      </c>
      <c r="E80" s="17">
        <f>D80+'Табл.1 Текущий дефицит'!D80</f>
        <v>0.325</v>
      </c>
      <c r="F80" s="13">
        <v>0.64</v>
      </c>
      <c r="G80" s="14" t="s">
        <v>4</v>
      </c>
      <c r="H80" s="25">
        <f t="shared" si="5"/>
        <v>0.64</v>
      </c>
      <c r="I80" s="14">
        <v>0</v>
      </c>
      <c r="J80" s="13">
        <f t="shared" si="6"/>
        <v>0.64</v>
      </c>
      <c r="K80" s="13">
        <f t="shared" si="4"/>
        <v>0.315</v>
      </c>
      <c r="L80" s="13">
        <f t="shared" si="3"/>
        <v>0.315</v>
      </c>
      <c r="M80" s="23" t="s">
        <v>362</v>
      </c>
    </row>
    <row r="81" spans="1:13" ht="15">
      <c r="A81" s="42">
        <v>63</v>
      </c>
      <c r="B81" s="76" t="s">
        <v>81</v>
      </c>
      <c r="C81" s="43" t="s">
        <v>156</v>
      </c>
      <c r="D81" s="117">
        <v>0.257</v>
      </c>
      <c r="E81" s="17">
        <f>D81+'Табл.1 Текущий дефицит'!D81</f>
        <v>0.537</v>
      </c>
      <c r="F81" s="13">
        <v>0.74</v>
      </c>
      <c r="G81" s="14" t="s">
        <v>4</v>
      </c>
      <c r="H81" s="25">
        <f t="shared" si="5"/>
        <v>0.74</v>
      </c>
      <c r="I81" s="14">
        <v>0</v>
      </c>
      <c r="J81" s="13">
        <f t="shared" si="6"/>
        <v>0.74</v>
      </c>
      <c r="K81" s="13">
        <f t="shared" si="4"/>
        <v>0.20299999999999996</v>
      </c>
      <c r="L81" s="13">
        <f t="shared" si="3"/>
        <v>0.20299999999999996</v>
      </c>
      <c r="M81" s="23" t="s">
        <v>362</v>
      </c>
    </row>
    <row r="82" spans="1:13" ht="15">
      <c r="A82" s="42">
        <v>64</v>
      </c>
      <c r="B82" s="76" t="s">
        <v>82</v>
      </c>
      <c r="C82" s="43" t="s">
        <v>151</v>
      </c>
      <c r="D82" s="117">
        <v>0.0535</v>
      </c>
      <c r="E82" s="17">
        <f>D82+'Табл.1 Текущий дефицит'!D82</f>
        <v>0.6935</v>
      </c>
      <c r="F82" s="13">
        <v>1.53</v>
      </c>
      <c r="G82" s="14" t="s">
        <v>4</v>
      </c>
      <c r="H82" s="25">
        <f t="shared" si="5"/>
        <v>1.53</v>
      </c>
      <c r="I82" s="14">
        <v>0</v>
      </c>
      <c r="J82" s="13">
        <f t="shared" si="6"/>
        <v>1.53</v>
      </c>
      <c r="K82" s="13">
        <f t="shared" si="4"/>
        <v>0.8365</v>
      </c>
      <c r="L82" s="13">
        <f t="shared" si="3"/>
        <v>0.8365</v>
      </c>
      <c r="M82" s="23" t="s">
        <v>362</v>
      </c>
    </row>
    <row r="83" spans="1:13" ht="28.5">
      <c r="A83" s="42">
        <v>65</v>
      </c>
      <c r="B83" s="76" t="s">
        <v>83</v>
      </c>
      <c r="C83" s="43" t="s">
        <v>151</v>
      </c>
      <c r="D83" s="117">
        <v>0.03</v>
      </c>
      <c r="E83" s="17">
        <f>D83+'Табл.1 Текущий дефицит'!D83</f>
        <v>0.5800000000000001</v>
      </c>
      <c r="F83" s="13">
        <v>0.84</v>
      </c>
      <c r="G83" s="14" t="s">
        <v>4</v>
      </c>
      <c r="H83" s="25">
        <f t="shared" si="5"/>
        <v>0.84</v>
      </c>
      <c r="I83" s="14">
        <v>0</v>
      </c>
      <c r="J83" s="13">
        <f t="shared" si="6"/>
        <v>0.84</v>
      </c>
      <c r="K83" s="13">
        <f t="shared" si="4"/>
        <v>0.2599999999999999</v>
      </c>
      <c r="L83" s="13">
        <f t="shared" si="3"/>
        <v>0.2599999999999999</v>
      </c>
      <c r="M83" s="23" t="s">
        <v>362</v>
      </c>
    </row>
    <row r="84" spans="1:13" ht="28.5">
      <c r="A84" s="42">
        <v>66</v>
      </c>
      <c r="B84" s="76" t="s">
        <v>84</v>
      </c>
      <c r="C84" s="43" t="s">
        <v>154</v>
      </c>
      <c r="D84" s="117">
        <v>0.039</v>
      </c>
      <c r="E84" s="17">
        <f>D84+'Табл.1 Текущий дефицит'!D84</f>
        <v>0.5890000000000001</v>
      </c>
      <c r="F84" s="13">
        <v>1.42</v>
      </c>
      <c r="G84" s="14" t="s">
        <v>4</v>
      </c>
      <c r="H84" s="25">
        <f t="shared" si="5"/>
        <v>1.42</v>
      </c>
      <c r="I84" s="14">
        <v>0</v>
      </c>
      <c r="J84" s="13">
        <f t="shared" si="6"/>
        <v>1.42</v>
      </c>
      <c r="K84" s="13">
        <f t="shared" si="4"/>
        <v>0.8309999999999998</v>
      </c>
      <c r="L84" s="13">
        <f t="shared" si="3"/>
        <v>0.8309999999999998</v>
      </c>
      <c r="M84" s="23" t="s">
        <v>362</v>
      </c>
    </row>
    <row r="85" spans="1:13" ht="28.5">
      <c r="A85" s="42">
        <v>67</v>
      </c>
      <c r="B85" s="76" t="s">
        <v>85</v>
      </c>
      <c r="C85" s="43" t="s">
        <v>156</v>
      </c>
      <c r="D85" s="117">
        <v>0.024</v>
      </c>
      <c r="E85" s="17">
        <f>D85+'Табл.1 Текущий дефицит'!D85</f>
        <v>0.5740000000000001</v>
      </c>
      <c r="F85" s="13">
        <v>0.76</v>
      </c>
      <c r="G85" s="14" t="s">
        <v>4</v>
      </c>
      <c r="H85" s="25">
        <f t="shared" si="5"/>
        <v>0.76</v>
      </c>
      <c r="I85" s="14">
        <v>0</v>
      </c>
      <c r="J85" s="13">
        <f t="shared" si="6"/>
        <v>0.76</v>
      </c>
      <c r="K85" s="13">
        <f t="shared" si="4"/>
        <v>0.18599999999999994</v>
      </c>
      <c r="L85" s="13">
        <f t="shared" si="3"/>
        <v>0.18599999999999994</v>
      </c>
      <c r="M85" s="23" t="s">
        <v>362</v>
      </c>
    </row>
    <row r="86" spans="1:13" ht="15">
      <c r="A86" s="42">
        <v>68</v>
      </c>
      <c r="B86" s="76" t="s">
        <v>86</v>
      </c>
      <c r="C86" s="43" t="s">
        <v>151</v>
      </c>
      <c r="D86" s="117">
        <v>0.014</v>
      </c>
      <c r="E86" s="17">
        <f>D86+'Табл.1 Текущий дефицит'!D86</f>
        <v>0.264</v>
      </c>
      <c r="F86" s="13">
        <v>1.43</v>
      </c>
      <c r="G86" s="14" t="s">
        <v>4</v>
      </c>
      <c r="H86" s="25">
        <f t="shared" si="5"/>
        <v>1.43</v>
      </c>
      <c r="I86" s="14">
        <v>0</v>
      </c>
      <c r="J86" s="13">
        <f t="shared" si="6"/>
        <v>1.43</v>
      </c>
      <c r="K86" s="13">
        <f t="shared" si="4"/>
        <v>1.166</v>
      </c>
      <c r="L86" s="13">
        <f t="shared" si="3"/>
        <v>1.166</v>
      </c>
      <c r="M86" s="23" t="s">
        <v>362</v>
      </c>
    </row>
    <row r="87" spans="1:13" ht="15">
      <c r="A87" s="42">
        <v>69</v>
      </c>
      <c r="B87" s="76" t="s">
        <v>87</v>
      </c>
      <c r="C87" s="43" t="s">
        <v>154</v>
      </c>
      <c r="D87" s="117">
        <v>0.10900000000000001</v>
      </c>
      <c r="E87" s="17">
        <f>D87+'Табл.1 Текущий дефицит'!D87</f>
        <v>0.749</v>
      </c>
      <c r="F87" s="13">
        <v>0.83</v>
      </c>
      <c r="G87" s="14" t="s">
        <v>4</v>
      </c>
      <c r="H87" s="25">
        <f t="shared" si="5"/>
        <v>0.83</v>
      </c>
      <c r="I87" s="14">
        <v>0</v>
      </c>
      <c r="J87" s="13">
        <f t="shared" si="6"/>
        <v>0.83</v>
      </c>
      <c r="K87" s="13">
        <f t="shared" si="4"/>
        <v>0.08099999999999996</v>
      </c>
      <c r="L87" s="13">
        <f t="shared" si="3"/>
        <v>0.08099999999999996</v>
      </c>
      <c r="M87" s="23" t="s">
        <v>362</v>
      </c>
    </row>
    <row r="88" spans="1:13" ht="15">
      <c r="A88" s="42">
        <v>70</v>
      </c>
      <c r="B88" s="76" t="s">
        <v>88</v>
      </c>
      <c r="C88" s="43" t="s">
        <v>151</v>
      </c>
      <c r="D88" s="117">
        <f>0.011+0.01+0.005+0.01</f>
        <v>0.036</v>
      </c>
      <c r="E88" s="17">
        <f>D88+'Табл.1 Текущий дефицит'!D88</f>
        <v>1.096</v>
      </c>
      <c r="F88" s="13">
        <v>1.1</v>
      </c>
      <c r="G88" s="14" t="s">
        <v>4</v>
      </c>
      <c r="H88" s="25">
        <f t="shared" si="5"/>
        <v>1.1</v>
      </c>
      <c r="I88" s="14">
        <v>0</v>
      </c>
      <c r="J88" s="13">
        <f t="shared" si="6"/>
        <v>1.1</v>
      </c>
      <c r="K88" s="13">
        <f t="shared" si="4"/>
        <v>0.0040000000000000036</v>
      </c>
      <c r="L88" s="13">
        <f t="shared" si="3"/>
        <v>0.0040000000000000036</v>
      </c>
      <c r="M88" s="23" t="s">
        <v>362</v>
      </c>
    </row>
    <row r="89" spans="1:13" ht="15">
      <c r="A89" s="42">
        <v>71</v>
      </c>
      <c r="B89" s="76" t="s">
        <v>89</v>
      </c>
      <c r="C89" s="43" t="s">
        <v>156</v>
      </c>
      <c r="D89" s="117">
        <v>0.107</v>
      </c>
      <c r="E89" s="17">
        <f>D89+'Табл.1 Текущий дефицит'!D89</f>
        <v>0.707</v>
      </c>
      <c r="F89" s="13">
        <v>1.29</v>
      </c>
      <c r="G89" s="14" t="s">
        <v>4</v>
      </c>
      <c r="H89" s="25">
        <f t="shared" si="5"/>
        <v>1.29</v>
      </c>
      <c r="I89" s="14">
        <v>0</v>
      </c>
      <c r="J89" s="13">
        <f t="shared" si="6"/>
        <v>1.29</v>
      </c>
      <c r="K89" s="13">
        <f t="shared" si="4"/>
        <v>0.5830000000000001</v>
      </c>
      <c r="L89" s="13">
        <f t="shared" si="3"/>
        <v>0.5830000000000001</v>
      </c>
      <c r="M89" s="23" t="s">
        <v>362</v>
      </c>
    </row>
    <row r="90" spans="1:13" ht="15">
      <c r="A90" s="42">
        <v>72</v>
      </c>
      <c r="B90" s="76" t="s">
        <v>90</v>
      </c>
      <c r="C90" s="43" t="s">
        <v>150</v>
      </c>
      <c r="D90" s="117">
        <v>0.026</v>
      </c>
      <c r="E90" s="17">
        <f>D90+'Табл.1 Текущий дефицит'!D90</f>
        <v>0.5860000000000001</v>
      </c>
      <c r="F90" s="13">
        <v>1.15</v>
      </c>
      <c r="G90" s="14" t="s">
        <v>4</v>
      </c>
      <c r="H90" s="25">
        <f t="shared" si="5"/>
        <v>1.15</v>
      </c>
      <c r="I90" s="14">
        <v>0</v>
      </c>
      <c r="J90" s="13">
        <f t="shared" si="6"/>
        <v>1.15</v>
      </c>
      <c r="K90" s="13">
        <f t="shared" si="4"/>
        <v>0.5639999999999998</v>
      </c>
      <c r="L90" s="13">
        <f t="shared" si="3"/>
        <v>0.5639999999999998</v>
      </c>
      <c r="M90" s="23" t="s">
        <v>362</v>
      </c>
    </row>
    <row r="91" spans="1:13" ht="28.5">
      <c r="A91" s="42">
        <v>73</v>
      </c>
      <c r="B91" s="76" t="s">
        <v>91</v>
      </c>
      <c r="C91" s="43" t="s">
        <v>157</v>
      </c>
      <c r="D91" s="117">
        <v>0.046</v>
      </c>
      <c r="E91" s="17">
        <f>D91+'Табл.1 Текущий дефицит'!D91</f>
        <v>0.046</v>
      </c>
      <c r="F91" s="13">
        <v>0.96</v>
      </c>
      <c r="G91" s="14" t="s">
        <v>4</v>
      </c>
      <c r="H91" s="25">
        <f t="shared" si="5"/>
        <v>0.96</v>
      </c>
      <c r="I91" s="14">
        <v>0</v>
      </c>
      <c r="J91" s="13">
        <f t="shared" si="6"/>
        <v>0.96</v>
      </c>
      <c r="K91" s="13">
        <f t="shared" si="4"/>
        <v>0.9139999999999999</v>
      </c>
      <c r="L91" s="13">
        <f t="shared" si="3"/>
        <v>0.9139999999999999</v>
      </c>
      <c r="M91" s="23" t="s">
        <v>362</v>
      </c>
    </row>
    <row r="92" spans="1:13" ht="15">
      <c r="A92" s="42">
        <v>74</v>
      </c>
      <c r="B92" s="76" t="s">
        <v>92</v>
      </c>
      <c r="C92" s="43" t="s">
        <v>156</v>
      </c>
      <c r="D92" s="117">
        <v>0.138</v>
      </c>
      <c r="E92" s="17">
        <f>D92+'Табл.1 Текущий дефицит'!D92</f>
        <v>0.738</v>
      </c>
      <c r="F92" s="13">
        <v>1.1</v>
      </c>
      <c r="G92" s="14" t="s">
        <v>4</v>
      </c>
      <c r="H92" s="25">
        <f t="shared" si="5"/>
        <v>1.1</v>
      </c>
      <c r="I92" s="14">
        <v>0</v>
      </c>
      <c r="J92" s="13">
        <f t="shared" si="6"/>
        <v>1.1</v>
      </c>
      <c r="K92" s="13">
        <f t="shared" si="4"/>
        <v>0.3620000000000001</v>
      </c>
      <c r="L92" s="13">
        <f t="shared" si="3"/>
        <v>0.3620000000000001</v>
      </c>
      <c r="M92" s="23" t="s">
        <v>362</v>
      </c>
    </row>
    <row r="93" spans="1:13" ht="28.5">
      <c r="A93" s="42">
        <v>75</v>
      </c>
      <c r="B93" s="76" t="s">
        <v>93</v>
      </c>
      <c r="C93" s="43" t="s">
        <v>155</v>
      </c>
      <c r="D93" s="117">
        <v>0.015</v>
      </c>
      <c r="E93" s="17">
        <f>D93+'Табл.1 Текущий дефицит'!D93</f>
        <v>0.775</v>
      </c>
      <c r="F93" s="13">
        <v>1.28</v>
      </c>
      <c r="G93" s="14" t="s">
        <v>4</v>
      </c>
      <c r="H93" s="25">
        <f t="shared" si="5"/>
        <v>1.28</v>
      </c>
      <c r="I93" s="14">
        <v>0</v>
      </c>
      <c r="J93" s="13">
        <f t="shared" si="6"/>
        <v>1.28</v>
      </c>
      <c r="K93" s="13">
        <f t="shared" si="4"/>
        <v>0.505</v>
      </c>
      <c r="L93" s="13">
        <f t="shared" si="3"/>
        <v>0.505</v>
      </c>
      <c r="M93" s="23" t="s">
        <v>362</v>
      </c>
    </row>
    <row r="94" spans="1:13" ht="15">
      <c r="A94" s="42">
        <v>76</v>
      </c>
      <c r="B94" s="76" t="s">
        <v>94</v>
      </c>
      <c r="C94" s="43" t="s">
        <v>151</v>
      </c>
      <c r="D94" s="117">
        <v>0.025</v>
      </c>
      <c r="E94" s="17">
        <f>D94+'Табл.1 Текущий дефицит'!D94</f>
        <v>0.47500000000000003</v>
      </c>
      <c r="F94" s="13">
        <v>1.19</v>
      </c>
      <c r="G94" s="14" t="s">
        <v>4</v>
      </c>
      <c r="H94" s="25">
        <f t="shared" si="5"/>
        <v>1.19</v>
      </c>
      <c r="I94" s="14">
        <v>0</v>
      </c>
      <c r="J94" s="13">
        <f t="shared" si="6"/>
        <v>1.19</v>
      </c>
      <c r="K94" s="13">
        <f t="shared" si="4"/>
        <v>0.7149999999999999</v>
      </c>
      <c r="L94" s="13">
        <f t="shared" si="3"/>
        <v>0.7149999999999999</v>
      </c>
      <c r="M94" s="23" t="s">
        <v>362</v>
      </c>
    </row>
    <row r="95" spans="1:13" ht="15">
      <c r="A95" s="42">
        <v>77</v>
      </c>
      <c r="B95" s="76" t="s">
        <v>95</v>
      </c>
      <c r="C95" s="43" t="s">
        <v>151</v>
      </c>
      <c r="D95" s="117">
        <v>0.01</v>
      </c>
      <c r="E95" s="17">
        <f>D95+'Табл.1 Текущий дефицит'!D95</f>
        <v>0.6900000000000001</v>
      </c>
      <c r="F95" s="13">
        <v>0.8</v>
      </c>
      <c r="G95" s="14" t="s">
        <v>4</v>
      </c>
      <c r="H95" s="25">
        <f t="shared" si="5"/>
        <v>0.8</v>
      </c>
      <c r="I95" s="14">
        <v>0</v>
      </c>
      <c r="J95" s="13">
        <f t="shared" si="6"/>
        <v>0.8</v>
      </c>
      <c r="K95" s="13">
        <f t="shared" si="4"/>
        <v>0.10999999999999999</v>
      </c>
      <c r="L95" s="13">
        <f t="shared" si="3"/>
        <v>0.10999999999999999</v>
      </c>
      <c r="M95" s="23" t="s">
        <v>362</v>
      </c>
    </row>
    <row r="96" spans="1:13" ht="15">
      <c r="A96" s="42">
        <v>78</v>
      </c>
      <c r="B96" s="76" t="s">
        <v>96</v>
      </c>
      <c r="C96" s="43" t="s">
        <v>151</v>
      </c>
      <c r="D96" s="117">
        <v>0.015</v>
      </c>
      <c r="E96" s="17">
        <f>D96+'Табл.1 Текущий дефицит'!D96</f>
        <v>0.245</v>
      </c>
      <c r="F96" s="13">
        <v>1.33</v>
      </c>
      <c r="G96" s="14" t="s">
        <v>4</v>
      </c>
      <c r="H96" s="25">
        <f t="shared" si="5"/>
        <v>1.33</v>
      </c>
      <c r="I96" s="14">
        <v>0</v>
      </c>
      <c r="J96" s="13">
        <f t="shared" si="6"/>
        <v>1.33</v>
      </c>
      <c r="K96" s="13">
        <f t="shared" si="4"/>
        <v>1.085</v>
      </c>
      <c r="L96" s="13">
        <f t="shared" si="3"/>
        <v>1.085</v>
      </c>
      <c r="M96" s="23" t="s">
        <v>362</v>
      </c>
    </row>
    <row r="97" spans="1:13" ht="15">
      <c r="A97" s="42">
        <v>79</v>
      </c>
      <c r="B97" s="76" t="s">
        <v>97</v>
      </c>
      <c r="C97" s="43" t="s">
        <v>155</v>
      </c>
      <c r="D97" s="117">
        <v>0.06</v>
      </c>
      <c r="E97" s="17">
        <f>D97+'Табл.1 Текущий дефицит'!D97</f>
        <v>1.06</v>
      </c>
      <c r="F97" s="13">
        <v>2.15</v>
      </c>
      <c r="G97" s="14" t="s">
        <v>4</v>
      </c>
      <c r="H97" s="25">
        <f t="shared" si="5"/>
        <v>2.15</v>
      </c>
      <c r="I97" s="14">
        <v>0</v>
      </c>
      <c r="J97" s="13">
        <f t="shared" si="6"/>
        <v>2.15</v>
      </c>
      <c r="K97" s="13">
        <f t="shared" si="4"/>
        <v>1.0899999999999999</v>
      </c>
      <c r="L97" s="13">
        <f aca="true" t="shared" si="7" ref="L97:L147">K97</f>
        <v>1.0899999999999999</v>
      </c>
      <c r="M97" s="23" t="s">
        <v>362</v>
      </c>
    </row>
    <row r="98" spans="1:13" ht="15">
      <c r="A98" s="42">
        <v>80</v>
      </c>
      <c r="B98" s="76" t="s">
        <v>98</v>
      </c>
      <c r="C98" s="43" t="s">
        <v>155</v>
      </c>
      <c r="D98" s="117">
        <v>0.25730000000000003</v>
      </c>
      <c r="E98" s="17">
        <f>D98+'Табл.1 Текущий дефицит'!D98</f>
        <v>0.8173000000000001</v>
      </c>
      <c r="F98" s="13">
        <v>2.15</v>
      </c>
      <c r="G98" s="14" t="s">
        <v>4</v>
      </c>
      <c r="H98" s="25">
        <f t="shared" si="5"/>
        <v>2.15</v>
      </c>
      <c r="I98" s="14">
        <v>0</v>
      </c>
      <c r="J98" s="13">
        <f t="shared" si="6"/>
        <v>2.15</v>
      </c>
      <c r="K98" s="13">
        <f t="shared" si="4"/>
        <v>1.3326999999999998</v>
      </c>
      <c r="L98" s="13">
        <f t="shared" si="7"/>
        <v>1.3326999999999998</v>
      </c>
      <c r="M98" s="23" t="s">
        <v>362</v>
      </c>
    </row>
    <row r="99" spans="1:13" ht="15">
      <c r="A99" s="42">
        <v>81</v>
      </c>
      <c r="B99" s="76" t="s">
        <v>99</v>
      </c>
      <c r="C99" s="43" t="s">
        <v>156</v>
      </c>
      <c r="D99" s="117">
        <v>0.038</v>
      </c>
      <c r="E99" s="17">
        <f>D99+'Табл.1 Текущий дефицит'!D99</f>
        <v>0.638</v>
      </c>
      <c r="F99" s="13">
        <v>1.1</v>
      </c>
      <c r="G99" s="14" t="s">
        <v>4</v>
      </c>
      <c r="H99" s="25">
        <f t="shared" si="5"/>
        <v>1.1</v>
      </c>
      <c r="I99" s="14">
        <v>0</v>
      </c>
      <c r="J99" s="13">
        <f t="shared" si="6"/>
        <v>1.1</v>
      </c>
      <c r="K99" s="13">
        <f t="shared" si="4"/>
        <v>0.4620000000000001</v>
      </c>
      <c r="L99" s="13">
        <f t="shared" si="7"/>
        <v>0.4620000000000001</v>
      </c>
      <c r="M99" s="23" t="s">
        <v>362</v>
      </c>
    </row>
    <row r="100" spans="1:13" ht="15">
      <c r="A100" s="42">
        <v>82</v>
      </c>
      <c r="B100" s="76" t="s">
        <v>100</v>
      </c>
      <c r="C100" s="43" t="s">
        <v>151</v>
      </c>
      <c r="D100" s="117"/>
      <c r="E100" s="17">
        <f>D100+'Табл.1 Текущий дефицит'!D100</f>
        <v>0.42</v>
      </c>
      <c r="F100" s="13">
        <v>0.9</v>
      </c>
      <c r="G100" s="14" t="s">
        <v>4</v>
      </c>
      <c r="H100" s="25">
        <f t="shared" si="5"/>
        <v>0.9</v>
      </c>
      <c r="I100" s="14">
        <v>0</v>
      </c>
      <c r="J100" s="13">
        <f t="shared" si="6"/>
        <v>0.9</v>
      </c>
      <c r="K100" s="13">
        <f t="shared" si="4"/>
        <v>0.48000000000000004</v>
      </c>
      <c r="L100" s="13">
        <f t="shared" si="7"/>
        <v>0.48000000000000004</v>
      </c>
      <c r="M100" s="23" t="s">
        <v>362</v>
      </c>
    </row>
    <row r="101" spans="1:13" ht="15">
      <c r="A101" s="42">
        <v>83</v>
      </c>
      <c r="B101" s="76" t="s">
        <v>101</v>
      </c>
      <c r="C101" s="43" t="s">
        <v>151</v>
      </c>
      <c r="D101" s="117"/>
      <c r="E101" s="17">
        <f>D101+'Табл.1 Текущий дефицит'!D101</f>
        <v>0.04</v>
      </c>
      <c r="F101" s="13">
        <v>1.07</v>
      </c>
      <c r="G101" s="14" t="s">
        <v>4</v>
      </c>
      <c r="H101" s="25">
        <f t="shared" si="5"/>
        <v>1.07</v>
      </c>
      <c r="I101" s="14">
        <v>0</v>
      </c>
      <c r="J101" s="13">
        <f t="shared" si="6"/>
        <v>1.07</v>
      </c>
      <c r="K101" s="13">
        <f t="shared" si="4"/>
        <v>1.03</v>
      </c>
      <c r="L101" s="13">
        <f t="shared" si="7"/>
        <v>1.03</v>
      </c>
      <c r="M101" s="23" t="s">
        <v>362</v>
      </c>
    </row>
    <row r="102" spans="1:13" ht="28.5">
      <c r="A102" s="42">
        <v>84</v>
      </c>
      <c r="B102" s="76" t="s">
        <v>102</v>
      </c>
      <c r="C102" s="43" t="s">
        <v>151</v>
      </c>
      <c r="D102" s="117"/>
      <c r="E102" s="17">
        <f>D102+'Табл.1 Текущий дефицит'!D102</f>
        <v>0.08</v>
      </c>
      <c r="F102" s="13">
        <v>4.3</v>
      </c>
      <c r="G102" s="14" t="s">
        <v>4</v>
      </c>
      <c r="H102" s="25">
        <f t="shared" si="5"/>
        <v>4.3</v>
      </c>
      <c r="I102" s="14">
        <v>0</v>
      </c>
      <c r="J102" s="13">
        <f t="shared" si="6"/>
        <v>4.3</v>
      </c>
      <c r="K102" s="13">
        <f t="shared" si="4"/>
        <v>4.22</v>
      </c>
      <c r="L102" s="13">
        <f t="shared" si="7"/>
        <v>4.22</v>
      </c>
      <c r="M102" s="23" t="s">
        <v>362</v>
      </c>
    </row>
    <row r="103" spans="1:13" ht="15">
      <c r="A103" s="42">
        <v>85</v>
      </c>
      <c r="B103" s="76" t="s">
        <v>103</v>
      </c>
      <c r="C103" s="43" t="s">
        <v>155</v>
      </c>
      <c r="D103" s="117">
        <v>0.014</v>
      </c>
      <c r="E103" s="17">
        <f>D103+'Табл.1 Текущий дефицит'!D103</f>
        <v>1.114</v>
      </c>
      <c r="F103" s="13">
        <v>2.15</v>
      </c>
      <c r="G103" s="14" t="s">
        <v>4</v>
      </c>
      <c r="H103" s="25">
        <f t="shared" si="5"/>
        <v>2.15</v>
      </c>
      <c r="I103" s="14">
        <v>0</v>
      </c>
      <c r="J103" s="13">
        <f t="shared" si="6"/>
        <v>2.15</v>
      </c>
      <c r="K103" s="13">
        <f t="shared" si="4"/>
        <v>1.0359999999999998</v>
      </c>
      <c r="L103" s="13">
        <f t="shared" si="7"/>
        <v>1.0359999999999998</v>
      </c>
      <c r="M103" s="23" t="s">
        <v>362</v>
      </c>
    </row>
    <row r="104" spans="1:13" ht="15">
      <c r="A104" s="42">
        <v>86</v>
      </c>
      <c r="B104" s="76" t="s">
        <v>104</v>
      </c>
      <c r="C104" s="43" t="s">
        <v>151</v>
      </c>
      <c r="D104" s="117">
        <v>0.008</v>
      </c>
      <c r="E104" s="17">
        <f>D104+'Табл.1 Текущий дефицит'!D104</f>
        <v>0.048</v>
      </c>
      <c r="F104" s="13">
        <v>1.4</v>
      </c>
      <c r="G104" s="14" t="s">
        <v>4</v>
      </c>
      <c r="H104" s="25">
        <f t="shared" si="5"/>
        <v>1.4</v>
      </c>
      <c r="I104" s="14">
        <v>0</v>
      </c>
      <c r="J104" s="13">
        <f t="shared" si="6"/>
        <v>1.4</v>
      </c>
      <c r="K104" s="13">
        <f t="shared" si="4"/>
        <v>1.3519999999999999</v>
      </c>
      <c r="L104" s="13">
        <f t="shared" si="7"/>
        <v>1.3519999999999999</v>
      </c>
      <c r="M104" s="23" t="s">
        <v>362</v>
      </c>
    </row>
    <row r="105" spans="1:13" ht="15">
      <c r="A105" s="42">
        <v>87</v>
      </c>
      <c r="B105" s="76" t="s">
        <v>105</v>
      </c>
      <c r="C105" s="43" t="s">
        <v>151</v>
      </c>
      <c r="D105" s="117">
        <v>0.035</v>
      </c>
      <c r="E105" s="17">
        <f>D105+'Табл.1 Текущий дефицит'!D105</f>
        <v>0.43500000000000005</v>
      </c>
      <c r="F105" s="13">
        <v>1.56</v>
      </c>
      <c r="G105" s="14" t="s">
        <v>4</v>
      </c>
      <c r="H105" s="25">
        <f t="shared" si="5"/>
        <v>1.56</v>
      </c>
      <c r="I105" s="14">
        <v>0</v>
      </c>
      <c r="J105" s="13">
        <f t="shared" si="6"/>
        <v>1.56</v>
      </c>
      <c r="K105" s="13">
        <f t="shared" si="4"/>
        <v>1.125</v>
      </c>
      <c r="L105" s="13">
        <f t="shared" si="7"/>
        <v>1.125</v>
      </c>
      <c r="M105" s="23" t="s">
        <v>362</v>
      </c>
    </row>
    <row r="106" spans="1:13" ht="15">
      <c r="A106" s="42">
        <v>88</v>
      </c>
      <c r="B106" s="76" t="s">
        <v>106</v>
      </c>
      <c r="C106" s="43" t="s">
        <v>151</v>
      </c>
      <c r="D106" s="117">
        <v>0.13</v>
      </c>
      <c r="E106" s="17">
        <f>D106+'Табл.1 Текущий дефицит'!D106</f>
        <v>0.63</v>
      </c>
      <c r="F106" s="13">
        <v>0.97</v>
      </c>
      <c r="G106" s="14" t="s">
        <v>4</v>
      </c>
      <c r="H106" s="25">
        <f t="shared" si="5"/>
        <v>0.97</v>
      </c>
      <c r="I106" s="14">
        <v>0</v>
      </c>
      <c r="J106" s="13">
        <f t="shared" si="6"/>
        <v>0.97</v>
      </c>
      <c r="K106" s="13">
        <f t="shared" si="4"/>
        <v>0.33999999999999997</v>
      </c>
      <c r="L106" s="13">
        <f t="shared" si="7"/>
        <v>0.33999999999999997</v>
      </c>
      <c r="M106" s="23" t="s">
        <v>362</v>
      </c>
    </row>
    <row r="107" spans="1:13" ht="28.5">
      <c r="A107" s="42">
        <v>89</v>
      </c>
      <c r="B107" s="76" t="s">
        <v>107</v>
      </c>
      <c r="C107" s="43" t="s">
        <v>155</v>
      </c>
      <c r="D107" s="117">
        <v>0.09</v>
      </c>
      <c r="E107" s="17">
        <f>D107+'Табл.1 Текущий дефицит'!D107</f>
        <v>0.58</v>
      </c>
      <c r="F107" s="13">
        <v>0.64</v>
      </c>
      <c r="G107" s="14" t="s">
        <v>4</v>
      </c>
      <c r="H107" s="25">
        <f t="shared" si="5"/>
        <v>0.64</v>
      </c>
      <c r="I107" s="14">
        <v>0</v>
      </c>
      <c r="J107" s="13">
        <f t="shared" si="6"/>
        <v>0.64</v>
      </c>
      <c r="K107" s="13">
        <f t="shared" si="4"/>
        <v>0.06000000000000005</v>
      </c>
      <c r="L107" s="13">
        <f t="shared" si="7"/>
        <v>0.06000000000000005</v>
      </c>
      <c r="M107" s="23" t="s">
        <v>362</v>
      </c>
    </row>
    <row r="108" spans="1:13" ht="28.5">
      <c r="A108" s="128">
        <v>90</v>
      </c>
      <c r="B108" s="82" t="s">
        <v>108</v>
      </c>
      <c r="C108" s="83" t="s">
        <v>155</v>
      </c>
      <c r="D108" s="116">
        <v>3.4252000000000002</v>
      </c>
      <c r="E108" s="127">
        <f>D108+'Табл.1 Текущий дефицит'!D108</f>
        <v>4.8852</v>
      </c>
      <c r="F108" s="126">
        <v>2.97</v>
      </c>
      <c r="G108" s="92" t="s">
        <v>4</v>
      </c>
      <c r="H108" s="81">
        <f t="shared" si="5"/>
        <v>2.97</v>
      </c>
      <c r="I108" s="92">
        <v>0</v>
      </c>
      <c r="J108" s="93">
        <f t="shared" si="6"/>
        <v>2.97</v>
      </c>
      <c r="K108" s="93">
        <f t="shared" si="4"/>
        <v>-1.9152</v>
      </c>
      <c r="L108" s="115">
        <f t="shared" si="7"/>
        <v>-1.9152</v>
      </c>
      <c r="M108" s="94" t="s">
        <v>363</v>
      </c>
    </row>
    <row r="109" spans="1:13" ht="15">
      <c r="A109" s="42">
        <v>91</v>
      </c>
      <c r="B109" s="76" t="s">
        <v>109</v>
      </c>
      <c r="C109" s="43" t="s">
        <v>151</v>
      </c>
      <c r="D109" s="117">
        <v>0.5</v>
      </c>
      <c r="E109" s="17">
        <f>D109+'Табл.1 Текущий дефицит'!D109</f>
        <v>1.1</v>
      </c>
      <c r="F109" s="13">
        <v>2.32</v>
      </c>
      <c r="G109" s="14" t="s">
        <v>4</v>
      </c>
      <c r="H109" s="25">
        <f t="shared" si="5"/>
        <v>2.32</v>
      </c>
      <c r="I109" s="14">
        <v>0</v>
      </c>
      <c r="J109" s="13">
        <f t="shared" si="6"/>
        <v>2.32</v>
      </c>
      <c r="K109" s="13">
        <f t="shared" si="4"/>
        <v>1.2199999999999998</v>
      </c>
      <c r="L109" s="13">
        <f t="shared" si="7"/>
        <v>1.2199999999999998</v>
      </c>
      <c r="M109" s="23" t="s">
        <v>362</v>
      </c>
    </row>
    <row r="110" spans="1:13" ht="28.5">
      <c r="A110" s="42">
        <v>92</v>
      </c>
      <c r="B110" s="76" t="s">
        <v>110</v>
      </c>
      <c r="C110" s="43" t="s">
        <v>151</v>
      </c>
      <c r="D110" s="117"/>
      <c r="E110" s="17">
        <f>D110+'Табл.1 Текущий дефицит'!D110</f>
        <v>0.15</v>
      </c>
      <c r="F110" s="13">
        <v>1.4</v>
      </c>
      <c r="G110" s="14" t="s">
        <v>4</v>
      </c>
      <c r="H110" s="25">
        <f t="shared" si="5"/>
        <v>1.4</v>
      </c>
      <c r="I110" s="14">
        <v>0</v>
      </c>
      <c r="J110" s="13">
        <f t="shared" si="6"/>
        <v>1.4</v>
      </c>
      <c r="K110" s="13">
        <f t="shared" si="4"/>
        <v>1.25</v>
      </c>
      <c r="L110" s="13">
        <f t="shared" si="7"/>
        <v>1.25</v>
      </c>
      <c r="M110" s="23" t="s">
        <v>362</v>
      </c>
    </row>
    <row r="111" spans="1:13" ht="28.5">
      <c r="A111" s="42">
        <v>93</v>
      </c>
      <c r="B111" s="76" t="s">
        <v>111</v>
      </c>
      <c r="C111" s="43" t="s">
        <v>151</v>
      </c>
      <c r="D111" s="117">
        <v>0.015</v>
      </c>
      <c r="E111" s="17">
        <f>D111+'Табл.1 Текущий дефицит'!D111</f>
        <v>0.21500000000000002</v>
      </c>
      <c r="F111" s="13">
        <v>1.4</v>
      </c>
      <c r="G111" s="14" t="s">
        <v>4</v>
      </c>
      <c r="H111" s="25">
        <f t="shared" si="5"/>
        <v>1.4</v>
      </c>
      <c r="I111" s="14">
        <v>0</v>
      </c>
      <c r="J111" s="13">
        <f t="shared" si="6"/>
        <v>1.4</v>
      </c>
      <c r="K111" s="13">
        <f t="shared" si="4"/>
        <v>1.1849999999999998</v>
      </c>
      <c r="L111" s="13">
        <f t="shared" si="7"/>
        <v>1.1849999999999998</v>
      </c>
      <c r="M111" s="23" t="s">
        <v>362</v>
      </c>
    </row>
    <row r="112" spans="1:13" ht="15">
      <c r="A112" s="42">
        <v>94</v>
      </c>
      <c r="B112" s="76" t="s">
        <v>112</v>
      </c>
      <c r="C112" s="43" t="s">
        <v>150</v>
      </c>
      <c r="D112" s="117">
        <v>0.334</v>
      </c>
      <c r="E112" s="17">
        <f>D112+'Табл.1 Текущий дефицит'!D112</f>
        <v>1.364</v>
      </c>
      <c r="F112" s="13">
        <v>2.15</v>
      </c>
      <c r="G112" s="14" t="s">
        <v>4</v>
      </c>
      <c r="H112" s="25">
        <f t="shared" si="5"/>
        <v>2.15</v>
      </c>
      <c r="I112" s="14">
        <v>0</v>
      </c>
      <c r="J112" s="13">
        <f t="shared" si="6"/>
        <v>2.15</v>
      </c>
      <c r="K112" s="13">
        <f t="shared" si="4"/>
        <v>0.7859999999999998</v>
      </c>
      <c r="L112" s="13">
        <f t="shared" si="7"/>
        <v>0.7859999999999998</v>
      </c>
      <c r="M112" s="23" t="s">
        <v>362</v>
      </c>
    </row>
    <row r="113" spans="1:13" ht="15">
      <c r="A113" s="42">
        <v>95</v>
      </c>
      <c r="B113" s="76" t="s">
        <v>113</v>
      </c>
      <c r="C113" s="43" t="s">
        <v>151</v>
      </c>
      <c r="D113" s="117">
        <v>0.01</v>
      </c>
      <c r="E113" s="17">
        <f>D113+'Табл.1 Текущий дефицит'!D113</f>
        <v>0.05</v>
      </c>
      <c r="F113" s="13">
        <v>0.74</v>
      </c>
      <c r="G113" s="14" t="s">
        <v>4</v>
      </c>
      <c r="H113" s="25">
        <f t="shared" si="5"/>
        <v>0.74</v>
      </c>
      <c r="I113" s="14">
        <v>0</v>
      </c>
      <c r="J113" s="13">
        <f t="shared" si="6"/>
        <v>0.74</v>
      </c>
      <c r="K113" s="13">
        <f t="shared" si="4"/>
        <v>0.69</v>
      </c>
      <c r="L113" s="13">
        <f t="shared" si="7"/>
        <v>0.69</v>
      </c>
      <c r="M113" s="23" t="s">
        <v>362</v>
      </c>
    </row>
    <row r="114" spans="1:13" ht="15">
      <c r="A114" s="42">
        <v>96</v>
      </c>
      <c r="B114" s="76" t="s">
        <v>114</v>
      </c>
      <c r="C114" s="43" t="s">
        <v>151</v>
      </c>
      <c r="D114" s="117">
        <v>0.035</v>
      </c>
      <c r="E114" s="17">
        <f>D114+'Табл.1 Текущий дефицит'!D114</f>
        <v>0.225</v>
      </c>
      <c r="F114" s="13">
        <v>2.15</v>
      </c>
      <c r="G114" s="14" t="s">
        <v>4</v>
      </c>
      <c r="H114" s="25">
        <f t="shared" si="5"/>
        <v>2.15</v>
      </c>
      <c r="I114" s="14">
        <v>0</v>
      </c>
      <c r="J114" s="13">
        <f t="shared" si="6"/>
        <v>2.15</v>
      </c>
      <c r="K114" s="13">
        <f t="shared" si="4"/>
        <v>1.9249999999999998</v>
      </c>
      <c r="L114" s="13">
        <f t="shared" si="7"/>
        <v>1.9249999999999998</v>
      </c>
      <c r="M114" s="23" t="s">
        <v>362</v>
      </c>
    </row>
    <row r="115" spans="1:13" ht="15">
      <c r="A115" s="42">
        <v>97</v>
      </c>
      <c r="B115" s="76" t="s">
        <v>115</v>
      </c>
      <c r="C115" s="43" t="s">
        <v>156</v>
      </c>
      <c r="D115" s="117">
        <v>0.009</v>
      </c>
      <c r="E115" s="17">
        <f>D115+'Табл.1 Текущий дефицит'!D115</f>
        <v>0.359</v>
      </c>
      <c r="F115" s="13">
        <v>2.15</v>
      </c>
      <c r="G115" s="14" t="s">
        <v>4</v>
      </c>
      <c r="H115" s="25">
        <f t="shared" si="5"/>
        <v>2.15</v>
      </c>
      <c r="I115" s="14">
        <v>0</v>
      </c>
      <c r="J115" s="13">
        <f t="shared" si="6"/>
        <v>2.15</v>
      </c>
      <c r="K115" s="13">
        <f t="shared" si="4"/>
        <v>1.791</v>
      </c>
      <c r="L115" s="13">
        <f t="shared" si="7"/>
        <v>1.791</v>
      </c>
      <c r="M115" s="23" t="s">
        <v>362</v>
      </c>
    </row>
    <row r="116" spans="1:13" ht="15">
      <c r="A116" s="42">
        <v>98</v>
      </c>
      <c r="B116" s="76" t="s">
        <v>116</v>
      </c>
      <c r="C116" s="43" t="s">
        <v>155</v>
      </c>
      <c r="D116" s="117">
        <v>0.112</v>
      </c>
      <c r="E116" s="17">
        <f>D116+'Табл.1 Текущий дефицит'!D116</f>
        <v>2.3120000000000003</v>
      </c>
      <c r="F116" s="13">
        <v>3.3</v>
      </c>
      <c r="G116" s="14" t="s">
        <v>4</v>
      </c>
      <c r="H116" s="25">
        <f t="shared" si="5"/>
        <v>3.3</v>
      </c>
      <c r="I116" s="14">
        <v>0</v>
      </c>
      <c r="J116" s="13">
        <f t="shared" si="6"/>
        <v>3.3</v>
      </c>
      <c r="K116" s="13">
        <f t="shared" si="4"/>
        <v>0.9879999999999995</v>
      </c>
      <c r="L116" s="13">
        <f t="shared" si="7"/>
        <v>0.9879999999999995</v>
      </c>
      <c r="M116" s="23" t="s">
        <v>362</v>
      </c>
    </row>
    <row r="117" spans="1:13" ht="28.5">
      <c r="A117" s="42">
        <v>99</v>
      </c>
      <c r="B117" s="76" t="s">
        <v>117</v>
      </c>
      <c r="C117" s="43" t="s">
        <v>155</v>
      </c>
      <c r="D117" s="117">
        <v>0.033</v>
      </c>
      <c r="E117" s="17">
        <f>D117+'Табл.1 Текущий дефицит'!D117</f>
        <v>0.033</v>
      </c>
      <c r="F117" s="13">
        <v>0.74</v>
      </c>
      <c r="G117" s="14" t="s">
        <v>4</v>
      </c>
      <c r="H117" s="25">
        <f t="shared" si="5"/>
        <v>0.74</v>
      </c>
      <c r="I117" s="14">
        <v>0</v>
      </c>
      <c r="J117" s="13">
        <f t="shared" si="6"/>
        <v>0.74</v>
      </c>
      <c r="K117" s="13">
        <f t="shared" si="4"/>
        <v>0.707</v>
      </c>
      <c r="L117" s="13">
        <f t="shared" si="7"/>
        <v>0.707</v>
      </c>
      <c r="M117" s="23" t="s">
        <v>362</v>
      </c>
    </row>
    <row r="118" spans="1:13" s="113" customFormat="1" ht="15">
      <c r="A118" s="128">
        <v>100</v>
      </c>
      <c r="B118" s="82" t="s">
        <v>118</v>
      </c>
      <c r="C118" s="83" t="s">
        <v>151</v>
      </c>
      <c r="D118" s="116">
        <v>0.931</v>
      </c>
      <c r="E118" s="127">
        <f>D118+'Табл.1 Текущий дефицит'!D118</f>
        <v>1.371</v>
      </c>
      <c r="F118" s="126">
        <v>1.1</v>
      </c>
      <c r="G118" s="92" t="s">
        <v>4</v>
      </c>
      <c r="H118" s="81">
        <f t="shared" si="5"/>
        <v>1.1</v>
      </c>
      <c r="I118" s="92">
        <v>0</v>
      </c>
      <c r="J118" s="93">
        <f t="shared" si="6"/>
        <v>1.1</v>
      </c>
      <c r="K118" s="93">
        <f t="shared" si="4"/>
        <v>-0.2709999999999999</v>
      </c>
      <c r="L118" s="115">
        <f t="shared" si="7"/>
        <v>-0.2709999999999999</v>
      </c>
      <c r="M118" s="94" t="s">
        <v>363</v>
      </c>
    </row>
    <row r="119" spans="1:13" s="113" customFormat="1" ht="15">
      <c r="A119" s="128">
        <v>101</v>
      </c>
      <c r="B119" s="82" t="s">
        <v>119</v>
      </c>
      <c r="C119" s="83" t="s">
        <v>156</v>
      </c>
      <c r="D119" s="116">
        <v>1.385</v>
      </c>
      <c r="E119" s="127">
        <f>D119+'Табл.1 Текущий дефицит'!D119</f>
        <v>2.545</v>
      </c>
      <c r="F119" s="126">
        <v>1.6</v>
      </c>
      <c r="G119" s="92" t="s">
        <v>4</v>
      </c>
      <c r="H119" s="81">
        <f t="shared" si="5"/>
        <v>1.6</v>
      </c>
      <c r="I119" s="92">
        <v>0</v>
      </c>
      <c r="J119" s="93">
        <f t="shared" si="6"/>
        <v>1.6</v>
      </c>
      <c r="K119" s="93">
        <f t="shared" si="4"/>
        <v>-0.9449999999999998</v>
      </c>
      <c r="L119" s="115">
        <f t="shared" si="7"/>
        <v>-0.9449999999999998</v>
      </c>
      <c r="M119" s="94" t="s">
        <v>363</v>
      </c>
    </row>
    <row r="120" spans="1:13" ht="28.5">
      <c r="A120" s="42">
        <v>102</v>
      </c>
      <c r="B120" s="76" t="s">
        <v>120</v>
      </c>
      <c r="C120" s="43" t="s">
        <v>151</v>
      </c>
      <c r="D120" s="117">
        <v>0.052000000000000005</v>
      </c>
      <c r="E120" s="17">
        <f>D120+'Табл.1 Текущий дефицит'!D120</f>
        <v>0.23199999999999998</v>
      </c>
      <c r="F120" s="13">
        <v>0.7</v>
      </c>
      <c r="G120" s="14" t="s">
        <v>4</v>
      </c>
      <c r="H120" s="25">
        <f t="shared" si="5"/>
        <v>0.7</v>
      </c>
      <c r="I120" s="14">
        <v>0</v>
      </c>
      <c r="J120" s="13">
        <f t="shared" si="6"/>
        <v>0.7</v>
      </c>
      <c r="K120" s="13">
        <f t="shared" si="4"/>
        <v>0.46799999999999997</v>
      </c>
      <c r="L120" s="13">
        <f t="shared" si="7"/>
        <v>0.46799999999999997</v>
      </c>
      <c r="M120" s="23" t="s">
        <v>362</v>
      </c>
    </row>
    <row r="121" spans="1:13" ht="28.5">
      <c r="A121" s="42">
        <v>103</v>
      </c>
      <c r="B121" s="76" t="s">
        <v>121</v>
      </c>
      <c r="C121" s="43" t="s">
        <v>155</v>
      </c>
      <c r="D121" s="117">
        <v>0.3468</v>
      </c>
      <c r="E121" s="17">
        <f>D121+'Табл.1 Текущий дефицит'!D121</f>
        <v>0.7268</v>
      </c>
      <c r="F121" s="13">
        <v>2.3</v>
      </c>
      <c r="G121" s="14" t="s">
        <v>4</v>
      </c>
      <c r="H121" s="25">
        <f t="shared" si="5"/>
        <v>2.3</v>
      </c>
      <c r="I121" s="14">
        <v>0</v>
      </c>
      <c r="J121" s="13">
        <f t="shared" si="6"/>
        <v>2.3</v>
      </c>
      <c r="K121" s="13">
        <f t="shared" si="4"/>
        <v>1.5732</v>
      </c>
      <c r="L121" s="13">
        <f t="shared" si="7"/>
        <v>1.5732</v>
      </c>
      <c r="M121" s="23" t="s">
        <v>362</v>
      </c>
    </row>
    <row r="122" spans="1:13" ht="15">
      <c r="A122" s="42">
        <v>104</v>
      </c>
      <c r="B122" s="76" t="s">
        <v>122</v>
      </c>
      <c r="C122" s="43" t="s">
        <v>151</v>
      </c>
      <c r="D122" s="117">
        <v>0.0304</v>
      </c>
      <c r="E122" s="17">
        <f>D122+'Табл.1 Текущий дефицит'!D122</f>
        <v>0.4304</v>
      </c>
      <c r="F122" s="13">
        <v>1.31</v>
      </c>
      <c r="G122" s="14" t="s">
        <v>4</v>
      </c>
      <c r="H122" s="25">
        <f t="shared" si="5"/>
        <v>1.31</v>
      </c>
      <c r="I122" s="14">
        <v>0</v>
      </c>
      <c r="J122" s="13">
        <f t="shared" si="6"/>
        <v>1.31</v>
      </c>
      <c r="K122" s="13">
        <f t="shared" si="4"/>
        <v>0.8796</v>
      </c>
      <c r="L122" s="13">
        <f t="shared" si="7"/>
        <v>0.8796</v>
      </c>
      <c r="M122" s="23" t="s">
        <v>362</v>
      </c>
    </row>
    <row r="123" spans="1:13" ht="15">
      <c r="A123" s="42">
        <v>105</v>
      </c>
      <c r="B123" s="76" t="s">
        <v>123</v>
      </c>
      <c r="C123" s="43" t="s">
        <v>154</v>
      </c>
      <c r="D123" s="117">
        <v>0.024</v>
      </c>
      <c r="E123" s="17">
        <f>D123+'Табл.1 Текущий дефицит'!D123</f>
        <v>0.254</v>
      </c>
      <c r="F123" s="13">
        <v>1.43</v>
      </c>
      <c r="G123" s="14" t="s">
        <v>4</v>
      </c>
      <c r="H123" s="25">
        <f t="shared" si="5"/>
        <v>1.43</v>
      </c>
      <c r="I123" s="14">
        <v>0</v>
      </c>
      <c r="J123" s="13">
        <f t="shared" si="6"/>
        <v>1.43</v>
      </c>
      <c r="K123" s="13">
        <f t="shared" si="4"/>
        <v>1.176</v>
      </c>
      <c r="L123" s="13">
        <f t="shared" si="7"/>
        <v>1.176</v>
      </c>
      <c r="M123" s="23" t="s">
        <v>362</v>
      </c>
    </row>
    <row r="124" spans="1:13" ht="15">
      <c r="A124" s="42">
        <v>106</v>
      </c>
      <c r="B124" s="76" t="s">
        <v>124</v>
      </c>
      <c r="C124" s="43" t="s">
        <v>151</v>
      </c>
      <c r="D124" s="117">
        <v>0.059</v>
      </c>
      <c r="E124" s="17">
        <f>D124+'Табл.1 Текущий дефицит'!D124</f>
        <v>0.479</v>
      </c>
      <c r="F124" s="13">
        <v>0.94</v>
      </c>
      <c r="G124" s="14" t="s">
        <v>4</v>
      </c>
      <c r="H124" s="25">
        <f t="shared" si="5"/>
        <v>0.94</v>
      </c>
      <c r="I124" s="14">
        <v>0</v>
      </c>
      <c r="J124" s="13">
        <f t="shared" si="6"/>
        <v>0.94</v>
      </c>
      <c r="K124" s="13">
        <f t="shared" si="4"/>
        <v>0.46099999999999997</v>
      </c>
      <c r="L124" s="13">
        <f t="shared" si="7"/>
        <v>0.46099999999999997</v>
      </c>
      <c r="M124" s="23" t="s">
        <v>362</v>
      </c>
    </row>
    <row r="125" spans="1:13" ht="15">
      <c r="A125" s="42">
        <v>107</v>
      </c>
      <c r="B125" s="76" t="s">
        <v>125</v>
      </c>
      <c r="C125" s="43" t="s">
        <v>156</v>
      </c>
      <c r="D125" s="117">
        <v>0.031</v>
      </c>
      <c r="E125" s="17">
        <f>D125+'Табл.1 Текущий дефицит'!D125</f>
        <v>0.561</v>
      </c>
      <c r="F125" s="13">
        <v>1.15</v>
      </c>
      <c r="G125" s="14" t="s">
        <v>4</v>
      </c>
      <c r="H125" s="25">
        <f t="shared" si="5"/>
        <v>1.15</v>
      </c>
      <c r="I125" s="14">
        <v>0</v>
      </c>
      <c r="J125" s="13">
        <f t="shared" si="6"/>
        <v>1.15</v>
      </c>
      <c r="K125" s="13">
        <f t="shared" si="4"/>
        <v>0.5889999999999999</v>
      </c>
      <c r="L125" s="13">
        <f t="shared" si="7"/>
        <v>0.5889999999999999</v>
      </c>
      <c r="M125" s="23" t="s">
        <v>362</v>
      </c>
    </row>
    <row r="126" spans="1:13" ht="15">
      <c r="A126" s="42">
        <v>108</v>
      </c>
      <c r="B126" s="76" t="s">
        <v>126</v>
      </c>
      <c r="C126" s="43" t="s">
        <v>151</v>
      </c>
      <c r="D126" s="117">
        <v>0.003</v>
      </c>
      <c r="E126" s="17">
        <f>D126+'Табл.1 Текущий дефицит'!D126</f>
        <v>0.303</v>
      </c>
      <c r="F126" s="13">
        <v>1.25</v>
      </c>
      <c r="G126" s="14" t="s">
        <v>4</v>
      </c>
      <c r="H126" s="25">
        <f t="shared" si="5"/>
        <v>1.25</v>
      </c>
      <c r="I126" s="14">
        <v>0</v>
      </c>
      <c r="J126" s="13">
        <f t="shared" si="6"/>
        <v>1.25</v>
      </c>
      <c r="K126" s="13">
        <f t="shared" si="4"/>
        <v>0.9470000000000001</v>
      </c>
      <c r="L126" s="13">
        <f t="shared" si="7"/>
        <v>0.9470000000000001</v>
      </c>
      <c r="M126" s="23" t="s">
        <v>362</v>
      </c>
    </row>
    <row r="127" spans="1:13" ht="15">
      <c r="A127" s="42">
        <v>109</v>
      </c>
      <c r="B127" s="76" t="s">
        <v>127</v>
      </c>
      <c r="C127" s="43" t="s">
        <v>151</v>
      </c>
      <c r="D127" s="117">
        <v>0.027000000000000003</v>
      </c>
      <c r="E127" s="17">
        <f>D127+'Табл.1 Текущий дефицит'!D127</f>
        <v>0.327</v>
      </c>
      <c r="F127" s="13">
        <v>2.7</v>
      </c>
      <c r="G127" s="14" t="s">
        <v>4</v>
      </c>
      <c r="H127" s="25">
        <f t="shared" si="5"/>
        <v>2.7</v>
      </c>
      <c r="I127" s="14">
        <v>0</v>
      </c>
      <c r="J127" s="13">
        <f t="shared" si="6"/>
        <v>2.7</v>
      </c>
      <c r="K127" s="13">
        <f t="shared" si="4"/>
        <v>2.373</v>
      </c>
      <c r="L127" s="13">
        <f t="shared" si="7"/>
        <v>2.373</v>
      </c>
      <c r="M127" s="23" t="s">
        <v>362</v>
      </c>
    </row>
    <row r="128" spans="1:13" ht="15">
      <c r="A128" s="42">
        <v>110</v>
      </c>
      <c r="B128" s="76" t="s">
        <v>128</v>
      </c>
      <c r="C128" s="43" t="s">
        <v>151</v>
      </c>
      <c r="D128" s="117">
        <v>0.081</v>
      </c>
      <c r="E128" s="17">
        <f>D128+'Табл.1 Текущий дефицит'!D128</f>
        <v>0.331</v>
      </c>
      <c r="F128" s="13">
        <v>1.43</v>
      </c>
      <c r="G128" s="14" t="s">
        <v>4</v>
      </c>
      <c r="H128" s="25">
        <f t="shared" si="5"/>
        <v>1.43</v>
      </c>
      <c r="I128" s="14">
        <v>0</v>
      </c>
      <c r="J128" s="13">
        <f t="shared" si="6"/>
        <v>1.43</v>
      </c>
      <c r="K128" s="13">
        <f t="shared" si="4"/>
        <v>1.099</v>
      </c>
      <c r="L128" s="13">
        <f t="shared" si="7"/>
        <v>1.099</v>
      </c>
      <c r="M128" s="23" t="s">
        <v>362</v>
      </c>
    </row>
    <row r="129" spans="1:13" ht="15">
      <c r="A129" s="42">
        <v>111</v>
      </c>
      <c r="B129" s="76" t="s">
        <v>129</v>
      </c>
      <c r="C129" s="43" t="s">
        <v>151</v>
      </c>
      <c r="D129" s="117">
        <v>0.095</v>
      </c>
      <c r="E129" s="17">
        <f>D129+'Табл.1 Текущий дефицит'!D129</f>
        <v>0.975</v>
      </c>
      <c r="F129" s="13">
        <v>1.76</v>
      </c>
      <c r="G129" s="14" t="s">
        <v>4</v>
      </c>
      <c r="H129" s="25">
        <f t="shared" si="5"/>
        <v>1.76</v>
      </c>
      <c r="I129" s="14">
        <v>0</v>
      </c>
      <c r="J129" s="13">
        <f t="shared" si="6"/>
        <v>1.76</v>
      </c>
      <c r="K129" s="13">
        <f t="shared" si="4"/>
        <v>0.785</v>
      </c>
      <c r="L129" s="13">
        <f t="shared" si="7"/>
        <v>0.785</v>
      </c>
      <c r="M129" s="23" t="s">
        <v>362</v>
      </c>
    </row>
    <row r="130" spans="1:13" ht="15">
      <c r="A130" s="42">
        <v>112</v>
      </c>
      <c r="B130" s="76" t="s">
        <v>130</v>
      </c>
      <c r="C130" s="43" t="s">
        <v>156</v>
      </c>
      <c r="D130" s="117">
        <v>0.10800000000000001</v>
      </c>
      <c r="E130" s="17">
        <f>D130+'Табл.1 Текущий дефицит'!D130</f>
        <v>0.388</v>
      </c>
      <c r="F130" s="13">
        <v>1.1</v>
      </c>
      <c r="G130" s="14" t="s">
        <v>4</v>
      </c>
      <c r="H130" s="25">
        <f t="shared" si="5"/>
        <v>1.1</v>
      </c>
      <c r="I130" s="14">
        <v>0</v>
      </c>
      <c r="J130" s="13">
        <f t="shared" si="6"/>
        <v>1.1</v>
      </c>
      <c r="K130" s="13">
        <f t="shared" si="4"/>
        <v>0.7120000000000001</v>
      </c>
      <c r="L130" s="13">
        <f t="shared" si="7"/>
        <v>0.7120000000000001</v>
      </c>
      <c r="M130" s="23" t="s">
        <v>362</v>
      </c>
    </row>
    <row r="131" spans="1:13" ht="28.5">
      <c r="A131" s="42">
        <v>113</v>
      </c>
      <c r="B131" s="76" t="s">
        <v>131</v>
      </c>
      <c r="C131" s="43" t="s">
        <v>151</v>
      </c>
      <c r="D131" s="117">
        <v>0.373</v>
      </c>
      <c r="E131" s="17">
        <f>D131+'Табл.1 Текущий дефицит'!D131</f>
        <v>0.823</v>
      </c>
      <c r="F131" s="13">
        <v>1.4</v>
      </c>
      <c r="G131" s="14" t="s">
        <v>4</v>
      </c>
      <c r="H131" s="25">
        <f t="shared" si="5"/>
        <v>1.4</v>
      </c>
      <c r="I131" s="14">
        <v>0</v>
      </c>
      <c r="J131" s="13">
        <f t="shared" si="6"/>
        <v>1.4</v>
      </c>
      <c r="K131" s="13">
        <f aca="true" t="shared" si="8" ref="K131:K147">J131-E131</f>
        <v>0.577</v>
      </c>
      <c r="L131" s="13">
        <f t="shared" si="7"/>
        <v>0.577</v>
      </c>
      <c r="M131" s="23" t="s">
        <v>362</v>
      </c>
    </row>
    <row r="132" spans="1:13" ht="28.5">
      <c r="A132" s="42">
        <v>114</v>
      </c>
      <c r="B132" s="76" t="s">
        <v>132</v>
      </c>
      <c r="C132" s="43" t="s">
        <v>151</v>
      </c>
      <c r="D132" s="117">
        <v>0.095</v>
      </c>
      <c r="E132" s="17">
        <f>D132+'Табл.1 Текущий дефицит'!D132</f>
        <v>0.44499999999999995</v>
      </c>
      <c r="F132" s="13">
        <v>1.3</v>
      </c>
      <c r="G132" s="14" t="s">
        <v>4</v>
      </c>
      <c r="H132" s="25">
        <f aca="true" t="shared" si="9" ref="H132:H147">F132</f>
        <v>1.3</v>
      </c>
      <c r="I132" s="14">
        <v>0</v>
      </c>
      <c r="J132" s="13">
        <f aca="true" t="shared" si="10" ref="J132:J147">H132-I132</f>
        <v>1.3</v>
      </c>
      <c r="K132" s="13">
        <f t="shared" si="8"/>
        <v>0.8550000000000001</v>
      </c>
      <c r="L132" s="13">
        <f t="shared" si="7"/>
        <v>0.8550000000000001</v>
      </c>
      <c r="M132" s="23" t="s">
        <v>362</v>
      </c>
    </row>
    <row r="133" spans="1:13" ht="15">
      <c r="A133" s="42">
        <v>115</v>
      </c>
      <c r="B133" s="76" t="s">
        <v>133</v>
      </c>
      <c r="C133" s="43" t="s">
        <v>151</v>
      </c>
      <c r="D133" s="117">
        <v>0.04</v>
      </c>
      <c r="E133" s="17">
        <f>D133+'Табл.1 Текущий дефицит'!D133</f>
        <v>0.64</v>
      </c>
      <c r="F133" s="13">
        <v>1.34</v>
      </c>
      <c r="G133" s="14" t="s">
        <v>4</v>
      </c>
      <c r="H133" s="25">
        <f t="shared" si="9"/>
        <v>1.34</v>
      </c>
      <c r="I133" s="14">
        <v>0</v>
      </c>
      <c r="J133" s="13">
        <f t="shared" si="10"/>
        <v>1.34</v>
      </c>
      <c r="K133" s="13">
        <f t="shared" si="8"/>
        <v>0.7000000000000001</v>
      </c>
      <c r="L133" s="13">
        <f t="shared" si="7"/>
        <v>0.7000000000000001</v>
      </c>
      <c r="M133" s="23" t="s">
        <v>362</v>
      </c>
    </row>
    <row r="134" spans="1:13" ht="15">
      <c r="A134" s="42">
        <v>116</v>
      </c>
      <c r="B134" s="76" t="s">
        <v>134</v>
      </c>
      <c r="C134" s="43" t="s">
        <v>156</v>
      </c>
      <c r="D134" s="117">
        <v>0.009</v>
      </c>
      <c r="E134" s="17">
        <f>D134+'Табл.1 Текущий дефицит'!D134</f>
        <v>0.549</v>
      </c>
      <c r="F134" s="13">
        <v>0.71</v>
      </c>
      <c r="G134" s="14" t="s">
        <v>4</v>
      </c>
      <c r="H134" s="25">
        <f t="shared" si="9"/>
        <v>0.71</v>
      </c>
      <c r="I134" s="14">
        <v>0</v>
      </c>
      <c r="J134" s="13">
        <f t="shared" si="10"/>
        <v>0.71</v>
      </c>
      <c r="K134" s="13">
        <f t="shared" si="8"/>
        <v>0.16099999999999992</v>
      </c>
      <c r="L134" s="13">
        <f t="shared" si="7"/>
        <v>0.16099999999999992</v>
      </c>
      <c r="M134" s="23" t="s">
        <v>362</v>
      </c>
    </row>
    <row r="135" spans="1:13" ht="15">
      <c r="A135" s="42">
        <v>117</v>
      </c>
      <c r="B135" s="76" t="s">
        <v>135</v>
      </c>
      <c r="C135" s="43" t="s">
        <v>151</v>
      </c>
      <c r="D135" s="117">
        <v>0.033437</v>
      </c>
      <c r="E135" s="17">
        <f>D135+'Табл.1 Текущий дефицит'!D135</f>
        <v>0.8334370000000001</v>
      </c>
      <c r="F135" s="13">
        <v>1.15</v>
      </c>
      <c r="G135" s="14" t="s">
        <v>4</v>
      </c>
      <c r="H135" s="25">
        <f t="shared" si="9"/>
        <v>1.15</v>
      </c>
      <c r="I135" s="14">
        <v>0</v>
      </c>
      <c r="J135" s="13">
        <f t="shared" si="10"/>
        <v>1.15</v>
      </c>
      <c r="K135" s="13">
        <f t="shared" si="8"/>
        <v>0.3165629999999998</v>
      </c>
      <c r="L135" s="13">
        <f t="shared" si="7"/>
        <v>0.3165629999999998</v>
      </c>
      <c r="M135" s="23" t="s">
        <v>362</v>
      </c>
    </row>
    <row r="136" spans="1:13" ht="15">
      <c r="A136" s="42">
        <v>118</v>
      </c>
      <c r="B136" s="76" t="s">
        <v>136</v>
      </c>
      <c r="C136" s="43" t="s">
        <v>151</v>
      </c>
      <c r="D136" s="117">
        <v>0.041999999999999996</v>
      </c>
      <c r="E136" s="17">
        <f>D136+'Табл.1 Текущий дефицит'!D136</f>
        <v>0.40199999999999997</v>
      </c>
      <c r="F136" s="13">
        <v>1.43</v>
      </c>
      <c r="G136" s="14" t="s">
        <v>4</v>
      </c>
      <c r="H136" s="25">
        <f t="shared" si="9"/>
        <v>1.43</v>
      </c>
      <c r="I136" s="14">
        <v>0</v>
      </c>
      <c r="J136" s="13">
        <f t="shared" si="10"/>
        <v>1.43</v>
      </c>
      <c r="K136" s="13">
        <f t="shared" si="8"/>
        <v>1.028</v>
      </c>
      <c r="L136" s="13">
        <f t="shared" si="7"/>
        <v>1.028</v>
      </c>
      <c r="M136" s="23" t="s">
        <v>362</v>
      </c>
    </row>
    <row r="137" spans="1:13" ht="15">
      <c r="A137" s="42">
        <v>119</v>
      </c>
      <c r="B137" s="76" t="s">
        <v>137</v>
      </c>
      <c r="C137" s="43" t="s">
        <v>151</v>
      </c>
      <c r="D137" s="117">
        <v>0.016</v>
      </c>
      <c r="E137" s="17">
        <f>D137+'Табл.1 Текущий дефицит'!D137</f>
        <v>0.08600000000000001</v>
      </c>
      <c r="F137" s="13">
        <v>0.7</v>
      </c>
      <c r="G137" s="14" t="s">
        <v>4</v>
      </c>
      <c r="H137" s="25">
        <f t="shared" si="9"/>
        <v>0.7</v>
      </c>
      <c r="I137" s="14">
        <v>0</v>
      </c>
      <c r="J137" s="13">
        <f t="shared" si="10"/>
        <v>0.7</v>
      </c>
      <c r="K137" s="13">
        <f t="shared" si="8"/>
        <v>0.614</v>
      </c>
      <c r="L137" s="13">
        <f t="shared" si="7"/>
        <v>0.614</v>
      </c>
      <c r="M137" s="23" t="s">
        <v>362</v>
      </c>
    </row>
    <row r="138" spans="1:13" ht="15">
      <c r="A138" s="42">
        <v>120</v>
      </c>
      <c r="B138" s="76" t="s">
        <v>138</v>
      </c>
      <c r="C138" s="43" t="s">
        <v>156</v>
      </c>
      <c r="D138" s="117">
        <v>0.048</v>
      </c>
      <c r="E138" s="17">
        <f>D138+'Табл.1 Текущий дефицит'!D138</f>
        <v>0.22799999999999998</v>
      </c>
      <c r="F138" s="13">
        <v>1.72</v>
      </c>
      <c r="G138" s="14" t="s">
        <v>4</v>
      </c>
      <c r="H138" s="25">
        <f t="shared" si="9"/>
        <v>1.72</v>
      </c>
      <c r="I138" s="14">
        <v>0</v>
      </c>
      <c r="J138" s="13">
        <f t="shared" si="10"/>
        <v>1.72</v>
      </c>
      <c r="K138" s="13">
        <f t="shared" si="8"/>
        <v>1.492</v>
      </c>
      <c r="L138" s="13">
        <f t="shared" si="7"/>
        <v>1.492</v>
      </c>
      <c r="M138" s="23" t="s">
        <v>362</v>
      </c>
    </row>
    <row r="139" spans="1:13" ht="15">
      <c r="A139" s="42">
        <v>121</v>
      </c>
      <c r="B139" s="76" t="s">
        <v>139</v>
      </c>
      <c r="C139" s="43" t="s">
        <v>151</v>
      </c>
      <c r="D139" s="117">
        <v>0.017</v>
      </c>
      <c r="E139" s="17">
        <f>D139+'Табл.1 Текущий дефицит'!D139</f>
        <v>0.35700000000000004</v>
      </c>
      <c r="F139" s="13">
        <v>1.1</v>
      </c>
      <c r="G139" s="14" t="s">
        <v>4</v>
      </c>
      <c r="H139" s="25">
        <f t="shared" si="9"/>
        <v>1.1</v>
      </c>
      <c r="I139" s="14">
        <v>0</v>
      </c>
      <c r="J139" s="13">
        <f t="shared" si="10"/>
        <v>1.1</v>
      </c>
      <c r="K139" s="13">
        <f t="shared" si="8"/>
        <v>0.7430000000000001</v>
      </c>
      <c r="L139" s="13">
        <f t="shared" si="7"/>
        <v>0.7430000000000001</v>
      </c>
      <c r="M139" s="23" t="s">
        <v>362</v>
      </c>
    </row>
    <row r="140" spans="1:13" ht="15">
      <c r="A140" s="42">
        <v>122</v>
      </c>
      <c r="B140" s="76" t="s">
        <v>140</v>
      </c>
      <c r="C140" s="43" t="s">
        <v>156</v>
      </c>
      <c r="D140" s="117"/>
      <c r="E140" s="17">
        <f>D140+'Табл.1 Текущий дефицит'!D140</f>
        <v>0.07</v>
      </c>
      <c r="F140" s="13">
        <v>0.85</v>
      </c>
      <c r="G140" s="14" t="s">
        <v>4</v>
      </c>
      <c r="H140" s="25">
        <f t="shared" si="9"/>
        <v>0.85</v>
      </c>
      <c r="I140" s="14">
        <v>0</v>
      </c>
      <c r="J140" s="13">
        <f t="shared" si="10"/>
        <v>0.85</v>
      </c>
      <c r="K140" s="13">
        <f t="shared" si="8"/>
        <v>0.78</v>
      </c>
      <c r="L140" s="13">
        <f t="shared" si="7"/>
        <v>0.78</v>
      </c>
      <c r="M140" s="23" t="s">
        <v>362</v>
      </c>
    </row>
    <row r="141" spans="1:13" ht="15">
      <c r="A141" s="42">
        <v>123</v>
      </c>
      <c r="B141" s="76" t="s">
        <v>141</v>
      </c>
      <c r="C141" s="43" t="s">
        <v>156</v>
      </c>
      <c r="D141" s="117">
        <v>0.033</v>
      </c>
      <c r="E141" s="17">
        <f>D141+'Табл.1 Текущий дефицит'!D141</f>
        <v>0.393</v>
      </c>
      <c r="F141" s="13">
        <v>1.43</v>
      </c>
      <c r="G141" s="14" t="s">
        <v>4</v>
      </c>
      <c r="H141" s="25">
        <f t="shared" si="9"/>
        <v>1.43</v>
      </c>
      <c r="I141" s="14">
        <v>0</v>
      </c>
      <c r="J141" s="13">
        <f t="shared" si="10"/>
        <v>1.43</v>
      </c>
      <c r="K141" s="13">
        <f t="shared" si="8"/>
        <v>1.037</v>
      </c>
      <c r="L141" s="13">
        <f t="shared" si="7"/>
        <v>1.037</v>
      </c>
      <c r="M141" s="23" t="s">
        <v>362</v>
      </c>
    </row>
    <row r="142" spans="1:13" ht="15">
      <c r="A142" s="42">
        <v>124</v>
      </c>
      <c r="B142" s="76" t="s">
        <v>142</v>
      </c>
      <c r="C142" s="43" t="s">
        <v>151</v>
      </c>
      <c r="D142" s="117">
        <v>0.020319999999999998</v>
      </c>
      <c r="E142" s="17">
        <f>D142+'Табл.1 Текущий дефицит'!D142</f>
        <v>0.18032</v>
      </c>
      <c r="F142" s="13">
        <v>1.43</v>
      </c>
      <c r="G142" s="14" t="s">
        <v>4</v>
      </c>
      <c r="H142" s="25">
        <f t="shared" si="9"/>
        <v>1.43</v>
      </c>
      <c r="I142" s="14">
        <v>0</v>
      </c>
      <c r="J142" s="13">
        <f t="shared" si="10"/>
        <v>1.43</v>
      </c>
      <c r="K142" s="13">
        <f t="shared" si="8"/>
        <v>1.24968</v>
      </c>
      <c r="L142" s="13">
        <f t="shared" si="7"/>
        <v>1.24968</v>
      </c>
      <c r="M142" s="23" t="s">
        <v>362</v>
      </c>
    </row>
    <row r="143" spans="1:13" ht="28.5">
      <c r="A143" s="42">
        <v>125</v>
      </c>
      <c r="B143" s="76" t="s">
        <v>143</v>
      </c>
      <c r="C143" s="43" t="s">
        <v>151</v>
      </c>
      <c r="D143" s="117">
        <v>0.045</v>
      </c>
      <c r="E143" s="17">
        <f>D143+'Табл.1 Текущий дефицит'!D143</f>
        <v>0.625</v>
      </c>
      <c r="F143" s="13">
        <v>1.47</v>
      </c>
      <c r="G143" s="14" t="s">
        <v>4</v>
      </c>
      <c r="H143" s="25">
        <f t="shared" si="9"/>
        <v>1.47</v>
      </c>
      <c r="I143" s="14">
        <v>0</v>
      </c>
      <c r="J143" s="13">
        <f t="shared" si="10"/>
        <v>1.47</v>
      </c>
      <c r="K143" s="13">
        <f t="shared" si="8"/>
        <v>0.845</v>
      </c>
      <c r="L143" s="13">
        <f t="shared" si="7"/>
        <v>0.845</v>
      </c>
      <c r="M143" s="23" t="s">
        <v>362</v>
      </c>
    </row>
    <row r="144" spans="1:13" ht="15">
      <c r="A144" s="42">
        <v>126</v>
      </c>
      <c r="B144" s="76" t="s">
        <v>144</v>
      </c>
      <c r="C144" s="43" t="s">
        <v>151</v>
      </c>
      <c r="D144" s="117"/>
      <c r="E144" s="17">
        <f>D144+'Табл.1 Текущий дефицит'!D144</f>
        <v>0.18</v>
      </c>
      <c r="F144" s="13">
        <v>0.85</v>
      </c>
      <c r="G144" s="14" t="s">
        <v>4</v>
      </c>
      <c r="H144" s="25">
        <f t="shared" si="9"/>
        <v>0.85</v>
      </c>
      <c r="I144" s="14">
        <v>0</v>
      </c>
      <c r="J144" s="13">
        <f t="shared" si="10"/>
        <v>0.85</v>
      </c>
      <c r="K144" s="13">
        <f t="shared" si="8"/>
        <v>0.6699999999999999</v>
      </c>
      <c r="L144" s="13">
        <f t="shared" si="7"/>
        <v>0.6699999999999999</v>
      </c>
      <c r="M144" s="23" t="s">
        <v>362</v>
      </c>
    </row>
    <row r="145" spans="1:13" ht="15">
      <c r="A145" s="42">
        <v>127</v>
      </c>
      <c r="B145" s="76" t="s">
        <v>306</v>
      </c>
      <c r="C145" s="43" t="s">
        <v>350</v>
      </c>
      <c r="D145" s="117">
        <v>0.03</v>
      </c>
      <c r="E145" s="17">
        <f>D145+'Табл.1 Текущий дефицит'!D145</f>
        <v>0.24</v>
      </c>
      <c r="F145" s="13">
        <v>0.6</v>
      </c>
      <c r="G145" s="14" t="s">
        <v>4</v>
      </c>
      <c r="H145" s="25">
        <f t="shared" si="9"/>
        <v>0.6</v>
      </c>
      <c r="I145" s="14">
        <v>0</v>
      </c>
      <c r="J145" s="13">
        <f t="shared" si="10"/>
        <v>0.6</v>
      </c>
      <c r="K145" s="13">
        <f t="shared" si="8"/>
        <v>0.36</v>
      </c>
      <c r="L145" s="13">
        <f t="shared" si="7"/>
        <v>0.36</v>
      </c>
      <c r="M145" s="23" t="s">
        <v>362</v>
      </c>
    </row>
    <row r="146" spans="1:13" ht="15">
      <c r="A146" s="42">
        <v>128</v>
      </c>
      <c r="B146" s="76" t="s">
        <v>145</v>
      </c>
      <c r="C146" s="43" t="s">
        <v>156</v>
      </c>
      <c r="D146" s="117">
        <v>0.018</v>
      </c>
      <c r="E146" s="17">
        <f>D146+'Табл.1 Текущий дефицит'!D146</f>
        <v>0.258</v>
      </c>
      <c r="F146" s="13">
        <v>0.64</v>
      </c>
      <c r="G146" s="14" t="s">
        <v>4</v>
      </c>
      <c r="H146" s="25">
        <f t="shared" si="9"/>
        <v>0.64</v>
      </c>
      <c r="I146" s="14">
        <v>0</v>
      </c>
      <c r="J146" s="13">
        <f t="shared" si="10"/>
        <v>0.64</v>
      </c>
      <c r="K146" s="13">
        <f t="shared" si="8"/>
        <v>0.382</v>
      </c>
      <c r="L146" s="13">
        <f t="shared" si="7"/>
        <v>0.382</v>
      </c>
      <c r="M146" s="23" t="s">
        <v>362</v>
      </c>
    </row>
    <row r="147" spans="1:13" ht="15">
      <c r="A147" s="128">
        <v>129</v>
      </c>
      <c r="B147" s="77" t="s">
        <v>146</v>
      </c>
      <c r="C147" s="29" t="s">
        <v>151</v>
      </c>
      <c r="D147" s="116">
        <v>3.562</v>
      </c>
      <c r="E147" s="127">
        <f>D147+'Табл.1 Текущий дефицит'!D147</f>
        <v>4.042</v>
      </c>
      <c r="F147" s="126">
        <v>2.15</v>
      </c>
      <c r="G147" s="30" t="s">
        <v>4</v>
      </c>
      <c r="H147" s="81">
        <f t="shared" si="9"/>
        <v>2.15</v>
      </c>
      <c r="I147" s="30">
        <v>0</v>
      </c>
      <c r="J147" s="45">
        <f t="shared" si="10"/>
        <v>2.15</v>
      </c>
      <c r="K147" s="45">
        <f t="shared" si="8"/>
        <v>-1.892</v>
      </c>
      <c r="L147" s="115">
        <f t="shared" si="7"/>
        <v>-1.892</v>
      </c>
      <c r="M147" s="46" t="s">
        <v>363</v>
      </c>
    </row>
    <row r="148" spans="1:13" ht="15">
      <c r="A148" s="290" t="s">
        <v>159</v>
      </c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</row>
    <row r="149" spans="1:13" ht="28.5">
      <c r="A149" s="42">
        <v>1</v>
      </c>
      <c r="B149" s="76" t="s">
        <v>160</v>
      </c>
      <c r="C149" s="43" t="s">
        <v>308</v>
      </c>
      <c r="D149" s="117"/>
      <c r="E149" s="17">
        <f>D149+'Табл.1 Текущий дефицит'!D149</f>
        <v>7.88</v>
      </c>
      <c r="F149" s="13">
        <v>0</v>
      </c>
      <c r="G149" s="14">
        <v>0</v>
      </c>
      <c r="H149" s="13">
        <f aca="true" t="shared" si="11" ref="H149:H215">E149-F149</f>
        <v>7.88</v>
      </c>
      <c r="I149" s="14">
        <v>0</v>
      </c>
      <c r="J149" s="13">
        <f>1.05*25</f>
        <v>26.25</v>
      </c>
      <c r="K149" s="13">
        <f>J149-I149-H149</f>
        <v>18.37</v>
      </c>
      <c r="L149" s="13">
        <f>K149</f>
        <v>18.37</v>
      </c>
      <c r="M149" s="26" t="s">
        <v>362</v>
      </c>
    </row>
    <row r="150" spans="1:13" ht="15">
      <c r="A150" s="42">
        <v>2</v>
      </c>
      <c r="B150" s="76" t="s">
        <v>161</v>
      </c>
      <c r="C150" s="43" t="s">
        <v>309</v>
      </c>
      <c r="D150" s="117">
        <v>0.022</v>
      </c>
      <c r="E150" s="17">
        <f>D150+'Табл.1 Текущий дефицит'!D150</f>
        <v>1.802</v>
      </c>
      <c r="F150" s="13">
        <v>0.9</v>
      </c>
      <c r="G150" s="14">
        <v>45</v>
      </c>
      <c r="H150" s="13">
        <f t="shared" si="11"/>
        <v>0.902</v>
      </c>
      <c r="I150" s="14">
        <v>0</v>
      </c>
      <c r="J150" s="13">
        <f>1.05*6.3</f>
        <v>6.615</v>
      </c>
      <c r="K150" s="13">
        <f aca="true" t="shared" si="12" ref="K150:K216">J150-I150-H150</f>
        <v>5.713</v>
      </c>
      <c r="L150" s="13">
        <f>K150</f>
        <v>5.713</v>
      </c>
      <c r="M150" s="26" t="s">
        <v>362</v>
      </c>
    </row>
    <row r="151" spans="1:13" ht="28.5">
      <c r="A151" s="300">
        <v>3</v>
      </c>
      <c r="B151" s="76" t="s">
        <v>162</v>
      </c>
      <c r="C151" s="43" t="s">
        <v>308</v>
      </c>
      <c r="D151" s="117">
        <f>D152+D153</f>
        <v>1.0190000000000001</v>
      </c>
      <c r="E151" s="17">
        <f>D151+'Табл.1 Текущий дефицит'!D151</f>
        <v>15.619</v>
      </c>
      <c r="F151" s="13">
        <v>20.2</v>
      </c>
      <c r="G151" s="14">
        <v>120</v>
      </c>
      <c r="H151" s="13">
        <f t="shared" si="11"/>
        <v>-4.5809999999999995</v>
      </c>
      <c r="I151" s="14">
        <v>0</v>
      </c>
      <c r="J151" s="13">
        <f>1.05*25</f>
        <v>26.25</v>
      </c>
      <c r="K151" s="13">
        <f t="shared" si="12"/>
        <v>30.831</v>
      </c>
      <c r="L151" s="281">
        <f>MIN(K151:K153)</f>
        <v>24.576999999999998</v>
      </c>
      <c r="M151" s="282" t="s">
        <v>362</v>
      </c>
    </row>
    <row r="152" spans="1:13" ht="28.5">
      <c r="A152" s="300"/>
      <c r="B152" s="76" t="s">
        <v>348</v>
      </c>
      <c r="C152" s="43">
        <v>25</v>
      </c>
      <c r="D152" s="117">
        <f>D342+D382+D386+D388</f>
        <v>0.5860000000000001</v>
      </c>
      <c r="E152" s="17">
        <f>D152+'Табл.1 Текущий дефицит'!D152</f>
        <v>4.346</v>
      </c>
      <c r="F152" s="13">
        <v>10.6</v>
      </c>
      <c r="G152" s="14">
        <v>120</v>
      </c>
      <c r="H152" s="13">
        <f t="shared" si="11"/>
        <v>-6.254</v>
      </c>
      <c r="I152" s="14">
        <v>0</v>
      </c>
      <c r="J152" s="13">
        <v>26.25</v>
      </c>
      <c r="K152" s="13">
        <f t="shared" si="12"/>
        <v>32.504</v>
      </c>
      <c r="L152" s="281"/>
      <c r="M152" s="282"/>
    </row>
    <row r="153" spans="1:13" ht="28.5">
      <c r="A153" s="300"/>
      <c r="B153" s="76" t="s">
        <v>349</v>
      </c>
      <c r="C153" s="43">
        <v>25</v>
      </c>
      <c r="D153" s="117">
        <v>0.43300000000000005</v>
      </c>
      <c r="E153" s="17">
        <f>D153+'Табл.1 Текущий дефицит'!D153</f>
        <v>11.273</v>
      </c>
      <c r="F153" s="13">
        <v>9.6</v>
      </c>
      <c r="G153" s="14">
        <v>120</v>
      </c>
      <c r="H153" s="13">
        <f t="shared" si="11"/>
        <v>1.673</v>
      </c>
      <c r="I153" s="14">
        <v>0</v>
      </c>
      <c r="J153" s="13">
        <v>26.25</v>
      </c>
      <c r="K153" s="13">
        <f t="shared" si="12"/>
        <v>24.576999999999998</v>
      </c>
      <c r="L153" s="281"/>
      <c r="M153" s="282"/>
    </row>
    <row r="154" spans="1:13" ht="24" customHeight="1">
      <c r="A154" s="42">
        <v>4</v>
      </c>
      <c r="B154" s="76" t="s">
        <v>163</v>
      </c>
      <c r="C154" s="43" t="s">
        <v>310</v>
      </c>
      <c r="D154" s="117">
        <v>0.09</v>
      </c>
      <c r="E154" s="17">
        <f>D154+'Табл.1 Текущий дефицит'!D154</f>
        <v>0.9199999999999999</v>
      </c>
      <c r="F154" s="13">
        <v>0.6</v>
      </c>
      <c r="G154" s="14">
        <v>120</v>
      </c>
      <c r="H154" s="13">
        <f t="shared" si="11"/>
        <v>0.31999999999999995</v>
      </c>
      <c r="I154" s="14">
        <v>0</v>
      </c>
      <c r="J154" s="13">
        <f>1.05*6.3</f>
        <v>6.615</v>
      </c>
      <c r="K154" s="13">
        <f t="shared" si="12"/>
        <v>6.295</v>
      </c>
      <c r="L154" s="13">
        <f>K154</f>
        <v>6.295</v>
      </c>
      <c r="M154" s="23" t="s">
        <v>362</v>
      </c>
    </row>
    <row r="155" spans="1:13" ht="15">
      <c r="A155" s="300">
        <v>5</v>
      </c>
      <c r="B155" s="76" t="s">
        <v>164</v>
      </c>
      <c r="C155" s="43" t="s">
        <v>311</v>
      </c>
      <c r="D155" s="117">
        <f>D156+D157</f>
        <v>0.623</v>
      </c>
      <c r="E155" s="17">
        <f>D155+'Табл.1 Текущий дефицит'!D155</f>
        <v>1.9429999999999998</v>
      </c>
      <c r="F155" s="13">
        <v>6.19</v>
      </c>
      <c r="G155" s="14">
        <v>15</v>
      </c>
      <c r="H155" s="13">
        <f t="shared" si="11"/>
        <v>-4.247000000000001</v>
      </c>
      <c r="I155" s="14">
        <v>0</v>
      </c>
      <c r="J155" s="13">
        <f>5.6*1.05</f>
        <v>5.88</v>
      </c>
      <c r="K155" s="13">
        <f t="shared" si="12"/>
        <v>10.127</v>
      </c>
      <c r="L155" s="281">
        <f>MIN(K155:K157)</f>
        <v>5.327999999999999</v>
      </c>
      <c r="M155" s="282" t="s">
        <v>362</v>
      </c>
    </row>
    <row r="156" spans="1:13" ht="28.5">
      <c r="A156" s="300"/>
      <c r="B156" s="76" t="s">
        <v>348</v>
      </c>
      <c r="C156" s="43" t="s">
        <v>311</v>
      </c>
      <c r="D156" s="117">
        <f>D74</f>
        <v>0.611</v>
      </c>
      <c r="E156" s="17">
        <f>D156+'Табл.1 Текущий дефицит'!D156</f>
        <v>1.201</v>
      </c>
      <c r="F156" s="13">
        <v>6</v>
      </c>
      <c r="G156" s="14"/>
      <c r="H156" s="13">
        <f t="shared" si="11"/>
        <v>-4.7989999999999995</v>
      </c>
      <c r="I156" s="14">
        <v>0</v>
      </c>
      <c r="J156" s="13">
        <f>5.6*1.05</f>
        <v>5.88</v>
      </c>
      <c r="K156" s="13">
        <f t="shared" si="12"/>
        <v>10.678999999999998</v>
      </c>
      <c r="L156" s="281"/>
      <c r="M156" s="282"/>
    </row>
    <row r="157" spans="1:13" ht="28.5">
      <c r="A157" s="300"/>
      <c r="B157" s="76" t="s">
        <v>349</v>
      </c>
      <c r="C157" s="43" t="s">
        <v>311</v>
      </c>
      <c r="D157" s="117">
        <v>0.012</v>
      </c>
      <c r="E157" s="17">
        <f>D157+'Табл.1 Текущий дефицит'!D157</f>
        <v>0.742</v>
      </c>
      <c r="F157" s="13">
        <v>0.19</v>
      </c>
      <c r="G157" s="14">
        <v>120</v>
      </c>
      <c r="H157" s="13">
        <f t="shared" si="11"/>
        <v>0.552</v>
      </c>
      <c r="I157" s="14">
        <v>0</v>
      </c>
      <c r="J157" s="13">
        <f>5.6*1.05</f>
        <v>5.88</v>
      </c>
      <c r="K157" s="13">
        <f t="shared" si="12"/>
        <v>5.327999999999999</v>
      </c>
      <c r="L157" s="281"/>
      <c r="M157" s="282"/>
    </row>
    <row r="158" spans="1:13" ht="15">
      <c r="A158" s="300">
        <v>6</v>
      </c>
      <c r="B158" s="76" t="s">
        <v>165</v>
      </c>
      <c r="C158" s="43" t="s">
        <v>312</v>
      </c>
      <c r="D158" s="117">
        <f>D159+D160</f>
        <v>2.1260000000000003</v>
      </c>
      <c r="E158" s="17">
        <f>D158+'Табл.1 Текущий дефицит'!D158</f>
        <v>9.225999999999999</v>
      </c>
      <c r="F158" s="13">
        <v>12</v>
      </c>
      <c r="G158" s="14">
        <v>120</v>
      </c>
      <c r="H158" s="13">
        <f t="shared" si="11"/>
        <v>-2.774000000000001</v>
      </c>
      <c r="I158" s="14">
        <v>0</v>
      </c>
      <c r="J158" s="13">
        <f>1.05*16</f>
        <v>16.8</v>
      </c>
      <c r="K158" s="13">
        <f t="shared" si="12"/>
        <v>19.574</v>
      </c>
      <c r="L158" s="281">
        <f>MIN(K158:K160)</f>
        <v>12.727</v>
      </c>
      <c r="M158" s="282" t="s">
        <v>362</v>
      </c>
    </row>
    <row r="159" spans="1:13" ht="28.5">
      <c r="A159" s="300"/>
      <c r="B159" s="76" t="s">
        <v>348</v>
      </c>
      <c r="C159" s="43">
        <v>16</v>
      </c>
      <c r="D159" s="117">
        <f>D42+D84+D99+D109</f>
        <v>0.873</v>
      </c>
      <c r="E159" s="17">
        <f>D159+'Табл.1 Текущий дефицит'!D159</f>
        <v>4.073</v>
      </c>
      <c r="F159" s="13">
        <v>0</v>
      </c>
      <c r="G159" s="14"/>
      <c r="H159" s="13">
        <f t="shared" si="11"/>
        <v>4.073</v>
      </c>
      <c r="I159" s="14">
        <v>0</v>
      </c>
      <c r="J159" s="13">
        <f>1.05*16</f>
        <v>16.8</v>
      </c>
      <c r="K159" s="13">
        <f t="shared" si="12"/>
        <v>12.727</v>
      </c>
      <c r="L159" s="281"/>
      <c r="M159" s="282"/>
    </row>
    <row r="160" spans="1:13" ht="28.5">
      <c r="A160" s="300"/>
      <c r="B160" s="76" t="s">
        <v>349</v>
      </c>
      <c r="C160" s="43">
        <v>16</v>
      </c>
      <c r="D160" s="117">
        <v>1.2530000000000001</v>
      </c>
      <c r="E160" s="17">
        <f>D160+'Табл.1 Текущий дефицит'!D160</f>
        <v>5.1530000000000005</v>
      </c>
      <c r="F160" s="13">
        <v>12</v>
      </c>
      <c r="G160" s="14">
        <v>120</v>
      </c>
      <c r="H160" s="13">
        <f t="shared" si="11"/>
        <v>-6.8469999999999995</v>
      </c>
      <c r="I160" s="14">
        <v>0</v>
      </c>
      <c r="J160" s="13">
        <f>1.05*16</f>
        <v>16.8</v>
      </c>
      <c r="K160" s="13">
        <f t="shared" si="12"/>
        <v>23.647</v>
      </c>
      <c r="L160" s="281"/>
      <c r="M160" s="282"/>
    </row>
    <row r="161" spans="1:13" ht="28.5">
      <c r="A161" s="300">
        <v>7</v>
      </c>
      <c r="B161" s="76" t="s">
        <v>166</v>
      </c>
      <c r="C161" s="43" t="s">
        <v>310</v>
      </c>
      <c r="D161" s="117">
        <f>D162+D163</f>
        <v>1.1229999999999998</v>
      </c>
      <c r="E161" s="17">
        <f>D161+'Табл.1 Текущий дефицит'!D161</f>
        <v>2.723</v>
      </c>
      <c r="F161" s="13">
        <v>1.3</v>
      </c>
      <c r="G161" s="14">
        <v>120</v>
      </c>
      <c r="H161" s="13">
        <f t="shared" si="11"/>
        <v>1.4229999999999998</v>
      </c>
      <c r="I161" s="14">
        <v>0</v>
      </c>
      <c r="J161" s="13">
        <f>1.05*6.3</f>
        <v>6.615</v>
      </c>
      <c r="K161" s="13">
        <f t="shared" si="12"/>
        <v>5.192</v>
      </c>
      <c r="L161" s="281">
        <f>MIN(K161:K163)</f>
        <v>5.192</v>
      </c>
      <c r="M161" s="282" t="s">
        <v>362</v>
      </c>
    </row>
    <row r="162" spans="1:13" ht="28.5">
      <c r="A162" s="300"/>
      <c r="B162" s="76" t="s">
        <v>348</v>
      </c>
      <c r="C162" s="43">
        <v>6.3</v>
      </c>
      <c r="D162" s="117">
        <f>D131</f>
        <v>0.373</v>
      </c>
      <c r="E162" s="17">
        <f>D162+'Табл.1 Текущий дефицит'!D162</f>
        <v>0.973</v>
      </c>
      <c r="F162" s="13"/>
      <c r="G162" s="14"/>
      <c r="H162" s="13">
        <f t="shared" si="11"/>
        <v>0.973</v>
      </c>
      <c r="I162" s="14">
        <v>0</v>
      </c>
      <c r="J162" s="13">
        <f>1.05*6.3</f>
        <v>6.615</v>
      </c>
      <c r="K162" s="13">
        <f t="shared" si="12"/>
        <v>5.642</v>
      </c>
      <c r="L162" s="281"/>
      <c r="M162" s="282"/>
    </row>
    <row r="163" spans="1:13" ht="28.5">
      <c r="A163" s="300"/>
      <c r="B163" s="76" t="s">
        <v>349</v>
      </c>
      <c r="C163" s="43">
        <v>6.3</v>
      </c>
      <c r="D163" s="117">
        <v>0.7499999999999999</v>
      </c>
      <c r="E163" s="17">
        <f>D163+'Табл.1 Текущий дефицит'!D163</f>
        <v>1.75</v>
      </c>
      <c r="F163" s="13">
        <v>1.3</v>
      </c>
      <c r="G163" s="14">
        <v>120</v>
      </c>
      <c r="H163" s="13">
        <f t="shared" si="11"/>
        <v>0.44999999999999996</v>
      </c>
      <c r="I163" s="14">
        <v>0</v>
      </c>
      <c r="J163" s="13">
        <f>1.05*6.3</f>
        <v>6.615</v>
      </c>
      <c r="K163" s="13">
        <f t="shared" si="12"/>
        <v>6.165</v>
      </c>
      <c r="L163" s="281"/>
      <c r="M163" s="282"/>
    </row>
    <row r="164" spans="1:13" ht="28.5">
      <c r="A164" s="42">
        <v>8</v>
      </c>
      <c r="B164" s="76" t="s">
        <v>167</v>
      </c>
      <c r="C164" s="43" t="s">
        <v>313</v>
      </c>
      <c r="D164" s="117">
        <v>0.10850000000000001</v>
      </c>
      <c r="E164" s="17">
        <f>D164+'Табл.1 Текущий дефицит'!D164</f>
        <v>2.6784999999999997</v>
      </c>
      <c r="F164" s="13">
        <v>1.17</v>
      </c>
      <c r="G164" s="14">
        <v>45</v>
      </c>
      <c r="H164" s="13">
        <f t="shared" si="11"/>
        <v>1.5084999999999997</v>
      </c>
      <c r="I164" s="14">
        <v>0</v>
      </c>
      <c r="J164" s="13">
        <f>1.05*2.5</f>
        <v>2.625</v>
      </c>
      <c r="K164" s="13">
        <f t="shared" si="12"/>
        <v>1.1165000000000003</v>
      </c>
      <c r="L164" s="13">
        <f>K164</f>
        <v>1.1165000000000003</v>
      </c>
      <c r="M164" s="23" t="s">
        <v>362</v>
      </c>
    </row>
    <row r="165" spans="1:13" ht="15">
      <c r="A165" s="300">
        <v>9</v>
      </c>
      <c r="B165" s="76" t="s">
        <v>168</v>
      </c>
      <c r="C165" s="43" t="s">
        <v>314</v>
      </c>
      <c r="D165" s="117">
        <f>D166+D167</f>
        <v>2.3710000000000004</v>
      </c>
      <c r="E165" s="17">
        <f>D165+'Табл.1 Текущий дефицит'!D165</f>
        <v>43.851000000000006</v>
      </c>
      <c r="F165" s="13">
        <v>16.8</v>
      </c>
      <c r="G165" s="14">
        <v>0</v>
      </c>
      <c r="H165" s="13">
        <f t="shared" si="11"/>
        <v>27.051000000000005</v>
      </c>
      <c r="I165" s="14">
        <v>0</v>
      </c>
      <c r="J165" s="13">
        <f>1.05*(40+40.5)</f>
        <v>84.525</v>
      </c>
      <c r="K165" s="13">
        <f t="shared" si="12"/>
        <v>57.474000000000004</v>
      </c>
      <c r="L165" s="281">
        <f>MIN(K165:K167)</f>
        <v>57.474000000000004</v>
      </c>
      <c r="M165" s="282" t="s">
        <v>362</v>
      </c>
    </row>
    <row r="166" spans="1:13" ht="28.5">
      <c r="A166" s="300"/>
      <c r="B166" s="76" t="s">
        <v>348</v>
      </c>
      <c r="C166" s="43" t="s">
        <v>314</v>
      </c>
      <c r="D166" s="117">
        <f>D32+D132+D312+D334+D360</f>
        <v>2.0280000000000005</v>
      </c>
      <c r="E166" s="17">
        <f>D166+'Табл.1 Текущий дефицит'!D166</f>
        <v>17.028</v>
      </c>
      <c r="F166" s="13">
        <v>16.8</v>
      </c>
      <c r="G166" s="14">
        <v>0</v>
      </c>
      <c r="H166" s="13">
        <f t="shared" si="11"/>
        <v>0.22799999999999798</v>
      </c>
      <c r="I166" s="14">
        <v>0</v>
      </c>
      <c r="J166" s="13">
        <f>1.05*(40+40.5)</f>
        <v>84.525</v>
      </c>
      <c r="K166" s="13">
        <f t="shared" si="12"/>
        <v>84.29700000000001</v>
      </c>
      <c r="L166" s="281"/>
      <c r="M166" s="282"/>
    </row>
    <row r="167" spans="1:13" ht="28.5">
      <c r="A167" s="300"/>
      <c r="B167" s="76" t="s">
        <v>349</v>
      </c>
      <c r="C167" s="43" t="s">
        <v>314</v>
      </c>
      <c r="D167" s="117">
        <v>0.343</v>
      </c>
      <c r="E167" s="17">
        <f>D167+'Табл.1 Текущий дефицит'!D167</f>
        <v>26.823</v>
      </c>
      <c r="F167" s="13">
        <v>0</v>
      </c>
      <c r="G167" s="14">
        <v>0</v>
      </c>
      <c r="H167" s="13">
        <f t="shared" si="11"/>
        <v>26.823</v>
      </c>
      <c r="I167" s="14">
        <v>0</v>
      </c>
      <c r="J167" s="13">
        <f>1.05*(40+40.5)</f>
        <v>84.525</v>
      </c>
      <c r="K167" s="13">
        <f t="shared" si="12"/>
        <v>57.702000000000005</v>
      </c>
      <c r="L167" s="281"/>
      <c r="M167" s="282"/>
    </row>
    <row r="168" spans="1:13" ht="15">
      <c r="A168" s="44">
        <v>10</v>
      </c>
      <c r="B168" s="77" t="s">
        <v>169</v>
      </c>
      <c r="C168" s="29" t="s">
        <v>312</v>
      </c>
      <c r="D168" s="116"/>
      <c r="E168" s="127">
        <f>D168+'Табл.1 Текущий дефицит'!D168</f>
        <v>27.17</v>
      </c>
      <c r="F168" s="126">
        <v>3.2</v>
      </c>
      <c r="G168" s="30">
        <v>15</v>
      </c>
      <c r="H168" s="45">
        <f t="shared" si="11"/>
        <v>23.970000000000002</v>
      </c>
      <c r="I168" s="30">
        <v>0</v>
      </c>
      <c r="J168" s="45">
        <f>1.05*16</f>
        <v>16.8</v>
      </c>
      <c r="K168" s="45">
        <f t="shared" si="12"/>
        <v>-7.170000000000002</v>
      </c>
      <c r="L168" s="45">
        <f>K168</f>
        <v>-7.170000000000002</v>
      </c>
      <c r="M168" s="46" t="s">
        <v>363</v>
      </c>
    </row>
    <row r="169" spans="1:13" ht="28.5">
      <c r="A169" s="300">
        <v>11</v>
      </c>
      <c r="B169" s="76" t="s">
        <v>170</v>
      </c>
      <c r="C169" s="43" t="s">
        <v>315</v>
      </c>
      <c r="D169" s="117">
        <f>D170+D171</f>
        <v>1.61</v>
      </c>
      <c r="E169" s="17">
        <f>D169+'Табл.1 Текущий дефицит'!D169</f>
        <v>7.840000000000001</v>
      </c>
      <c r="F169" s="13">
        <v>8.04</v>
      </c>
      <c r="G169" s="14">
        <v>120</v>
      </c>
      <c r="H169" s="13">
        <f t="shared" si="11"/>
        <v>-0.1999999999999984</v>
      </c>
      <c r="I169" s="14">
        <v>0</v>
      </c>
      <c r="J169" s="13">
        <f>1.05*10</f>
        <v>10.5</v>
      </c>
      <c r="K169" s="13">
        <f t="shared" si="12"/>
        <v>10.7</v>
      </c>
      <c r="L169" s="281">
        <f>MIN(K169:K171)</f>
        <v>8.6645</v>
      </c>
      <c r="M169" s="282" t="s">
        <v>362</v>
      </c>
    </row>
    <row r="170" spans="1:13" ht="28.5">
      <c r="A170" s="300"/>
      <c r="B170" s="76" t="s">
        <v>348</v>
      </c>
      <c r="C170" s="43">
        <v>10</v>
      </c>
      <c r="D170" s="117">
        <f>D46+D75+D80+D82+D95+D317+D340</f>
        <v>1.6045</v>
      </c>
      <c r="E170" s="17">
        <f>D170+'Табл.1 Текущий дефицит'!D170</f>
        <v>4.5645</v>
      </c>
      <c r="F170" s="13">
        <v>6.6</v>
      </c>
      <c r="G170" s="14">
        <v>120</v>
      </c>
      <c r="H170" s="13">
        <f t="shared" si="11"/>
        <v>-2.0355</v>
      </c>
      <c r="I170" s="14">
        <v>0</v>
      </c>
      <c r="J170" s="13">
        <f>1.05*10</f>
        <v>10.5</v>
      </c>
      <c r="K170" s="13">
        <f t="shared" si="12"/>
        <v>12.535499999999999</v>
      </c>
      <c r="L170" s="281"/>
      <c r="M170" s="282"/>
    </row>
    <row r="171" spans="1:13" ht="28.5">
      <c r="A171" s="300"/>
      <c r="B171" s="76" t="s">
        <v>349</v>
      </c>
      <c r="C171" s="43">
        <v>10</v>
      </c>
      <c r="D171" s="117">
        <v>0.0055</v>
      </c>
      <c r="E171" s="17">
        <f>D171+'Табл.1 Текущий дефицит'!D171</f>
        <v>3.2755</v>
      </c>
      <c r="F171" s="13">
        <v>1.44</v>
      </c>
      <c r="G171" s="14">
        <v>80</v>
      </c>
      <c r="H171" s="13">
        <f t="shared" si="11"/>
        <v>1.8355000000000001</v>
      </c>
      <c r="I171" s="14">
        <v>0</v>
      </c>
      <c r="J171" s="13">
        <f>1.05*10</f>
        <v>10.5</v>
      </c>
      <c r="K171" s="13">
        <f t="shared" si="12"/>
        <v>8.6645</v>
      </c>
      <c r="L171" s="281"/>
      <c r="M171" s="282"/>
    </row>
    <row r="172" spans="1:13" ht="15">
      <c r="A172" s="42">
        <v>12</v>
      </c>
      <c r="B172" s="76" t="s">
        <v>171</v>
      </c>
      <c r="C172" s="43" t="s">
        <v>316</v>
      </c>
      <c r="D172" s="117">
        <v>5.012358</v>
      </c>
      <c r="E172" s="17">
        <f>D172+'Табл.1 Текущий дефицит'!D172</f>
        <v>13.532357999999999</v>
      </c>
      <c r="F172" s="13">
        <v>0</v>
      </c>
      <c r="G172" s="14">
        <v>0</v>
      </c>
      <c r="H172" s="13">
        <f t="shared" si="11"/>
        <v>13.532357999999999</v>
      </c>
      <c r="I172" s="14">
        <v>0</v>
      </c>
      <c r="J172" s="13">
        <f>1.05*25</f>
        <v>26.25</v>
      </c>
      <c r="K172" s="13">
        <f t="shared" si="12"/>
        <v>12.717642000000001</v>
      </c>
      <c r="L172" s="13">
        <f>K172</f>
        <v>12.717642000000001</v>
      </c>
      <c r="M172" s="23" t="s">
        <v>362</v>
      </c>
    </row>
    <row r="173" spans="1:13" ht="28.5">
      <c r="A173" s="305">
        <v>13</v>
      </c>
      <c r="B173" s="82" t="s">
        <v>172</v>
      </c>
      <c r="C173" s="83" t="s">
        <v>317</v>
      </c>
      <c r="D173" s="116">
        <f>D174+D175</f>
        <v>12.24574</v>
      </c>
      <c r="E173" s="127">
        <f>D173+'Табл.1 Текущий дефицит'!D173</f>
        <v>20.245739999999998</v>
      </c>
      <c r="F173" s="126">
        <v>6.52</v>
      </c>
      <c r="G173" s="92">
        <v>120</v>
      </c>
      <c r="H173" s="93">
        <f t="shared" si="11"/>
        <v>13.725739999999998</v>
      </c>
      <c r="I173" s="92">
        <v>0</v>
      </c>
      <c r="J173" s="93">
        <f aca="true" t="shared" si="13" ref="J173:J179">1.05*10</f>
        <v>10.5</v>
      </c>
      <c r="K173" s="93">
        <f t="shared" si="12"/>
        <v>-3.2257399999999983</v>
      </c>
      <c r="L173" s="288">
        <f>MIN(K173:K175)</f>
        <v>-3.2257399999999983</v>
      </c>
      <c r="M173" s="289" t="s">
        <v>363</v>
      </c>
    </row>
    <row r="174" spans="1:13" ht="28.5">
      <c r="A174" s="305"/>
      <c r="B174" s="82" t="s">
        <v>348</v>
      </c>
      <c r="C174" s="83" t="s">
        <v>317</v>
      </c>
      <c r="D174" s="116">
        <f>D50+D76+D97+D119+D147+D351+D355</f>
        <v>11.51264</v>
      </c>
      <c r="E174" s="127">
        <f>D174+'Табл.1 Текущий дефицит'!D174</f>
        <v>16.16264</v>
      </c>
      <c r="F174" s="126">
        <v>6.06</v>
      </c>
      <c r="G174" s="92"/>
      <c r="H174" s="93">
        <f t="shared" si="11"/>
        <v>10.102640000000001</v>
      </c>
      <c r="I174" s="92">
        <v>0</v>
      </c>
      <c r="J174" s="93">
        <f t="shared" si="13"/>
        <v>10.5</v>
      </c>
      <c r="K174" s="93">
        <f t="shared" si="12"/>
        <v>0.39735999999999905</v>
      </c>
      <c r="L174" s="288"/>
      <c r="M174" s="289"/>
    </row>
    <row r="175" spans="1:13" ht="28.5">
      <c r="A175" s="305"/>
      <c r="B175" s="82" t="s">
        <v>349</v>
      </c>
      <c r="C175" s="83" t="s">
        <v>317</v>
      </c>
      <c r="D175" s="116">
        <v>0.7331</v>
      </c>
      <c r="E175" s="127">
        <f>D175+'Табл.1 Текущий дефицит'!D175</f>
        <v>4.0831</v>
      </c>
      <c r="F175" s="126">
        <v>0.46</v>
      </c>
      <c r="G175" s="92">
        <v>120</v>
      </c>
      <c r="H175" s="93">
        <f t="shared" si="11"/>
        <v>3.6231</v>
      </c>
      <c r="I175" s="92">
        <v>0</v>
      </c>
      <c r="J175" s="93">
        <f t="shared" si="13"/>
        <v>10.5</v>
      </c>
      <c r="K175" s="93">
        <f t="shared" si="12"/>
        <v>6.8769</v>
      </c>
      <c r="L175" s="288"/>
      <c r="M175" s="289"/>
    </row>
    <row r="176" spans="1:13" ht="28.5">
      <c r="A176" s="300">
        <v>14</v>
      </c>
      <c r="B176" s="76" t="s">
        <v>173</v>
      </c>
      <c r="C176" s="43" t="s">
        <v>315</v>
      </c>
      <c r="D176" s="117">
        <f>D177+D178</f>
        <v>1.7352</v>
      </c>
      <c r="E176" s="17">
        <f>D176+'Табл.1 Текущий дефицит'!D176</f>
        <v>7.675199999999999</v>
      </c>
      <c r="F176" s="13">
        <v>10.4</v>
      </c>
      <c r="G176" s="14">
        <v>120</v>
      </c>
      <c r="H176" s="13">
        <f t="shared" si="11"/>
        <v>-2.724800000000001</v>
      </c>
      <c r="I176" s="14">
        <v>0</v>
      </c>
      <c r="J176" s="13">
        <f t="shared" si="13"/>
        <v>10.5</v>
      </c>
      <c r="K176" s="13">
        <f t="shared" si="12"/>
        <v>13.224800000000002</v>
      </c>
      <c r="L176" s="281">
        <f>MIN(K176:K178)</f>
        <v>8.313</v>
      </c>
      <c r="M176" s="282" t="s">
        <v>362</v>
      </c>
    </row>
    <row r="177" spans="1:13" ht="28.5">
      <c r="A177" s="300"/>
      <c r="B177" s="76" t="s">
        <v>348</v>
      </c>
      <c r="C177" s="43">
        <v>10</v>
      </c>
      <c r="D177" s="117">
        <f>D343+D393</f>
        <v>0.07819999999999999</v>
      </c>
      <c r="E177" s="17">
        <f>D177+'Табл.1 Текущий дефицит'!D177</f>
        <v>2.4882</v>
      </c>
      <c r="F177" s="13">
        <v>7.4</v>
      </c>
      <c r="G177" s="14"/>
      <c r="H177" s="13">
        <f t="shared" si="11"/>
        <v>-4.9118</v>
      </c>
      <c r="I177" s="14">
        <v>0</v>
      </c>
      <c r="J177" s="13">
        <f t="shared" si="13"/>
        <v>10.5</v>
      </c>
      <c r="K177" s="13">
        <f t="shared" si="12"/>
        <v>15.4118</v>
      </c>
      <c r="L177" s="281"/>
      <c r="M177" s="282"/>
    </row>
    <row r="178" spans="1:13" ht="28.5">
      <c r="A178" s="300"/>
      <c r="B178" s="76" t="s">
        <v>349</v>
      </c>
      <c r="C178" s="43">
        <v>10</v>
      </c>
      <c r="D178" s="117">
        <v>1.657</v>
      </c>
      <c r="E178" s="17">
        <f>D178+'Табл.1 Текущий дефицит'!D178</f>
        <v>5.186999999999999</v>
      </c>
      <c r="F178" s="13">
        <v>3</v>
      </c>
      <c r="G178" s="14">
        <v>80</v>
      </c>
      <c r="H178" s="13">
        <f t="shared" si="11"/>
        <v>2.1869999999999994</v>
      </c>
      <c r="I178" s="14">
        <v>0</v>
      </c>
      <c r="J178" s="13">
        <f t="shared" si="13"/>
        <v>10.5</v>
      </c>
      <c r="K178" s="13">
        <f t="shared" si="12"/>
        <v>8.313</v>
      </c>
      <c r="L178" s="281"/>
      <c r="M178" s="282"/>
    </row>
    <row r="179" spans="1:13" ht="28.5">
      <c r="A179" s="42">
        <v>15</v>
      </c>
      <c r="B179" s="76" t="s">
        <v>174</v>
      </c>
      <c r="C179" s="43" t="s">
        <v>315</v>
      </c>
      <c r="D179" s="117">
        <v>0.017</v>
      </c>
      <c r="E179" s="17">
        <f>D179+'Табл.1 Текущий дефицит'!D179</f>
        <v>0.917</v>
      </c>
      <c r="F179" s="13">
        <v>0.5</v>
      </c>
      <c r="G179" s="14">
        <v>120</v>
      </c>
      <c r="H179" s="13">
        <f t="shared" si="11"/>
        <v>0.41700000000000004</v>
      </c>
      <c r="I179" s="14">
        <v>0</v>
      </c>
      <c r="J179" s="13">
        <f t="shared" si="13"/>
        <v>10.5</v>
      </c>
      <c r="K179" s="13">
        <f t="shared" si="12"/>
        <v>10.083</v>
      </c>
      <c r="L179" s="13">
        <f>K179</f>
        <v>10.083</v>
      </c>
      <c r="M179" s="23" t="s">
        <v>362</v>
      </c>
    </row>
    <row r="180" spans="1:13" ht="28.5">
      <c r="A180" s="300">
        <v>16</v>
      </c>
      <c r="B180" s="76" t="s">
        <v>175</v>
      </c>
      <c r="C180" s="43" t="s">
        <v>315</v>
      </c>
      <c r="D180" s="17">
        <f>D181+D182</f>
        <v>4.0625</v>
      </c>
      <c r="E180" s="17">
        <f>D180+'Табл.1 Текущий дефицит'!D180</f>
        <v>5.2825</v>
      </c>
      <c r="F180" s="13">
        <v>5.16</v>
      </c>
      <c r="G180" s="14">
        <v>120</v>
      </c>
      <c r="H180" s="13">
        <f t="shared" si="11"/>
        <v>0.12249999999999961</v>
      </c>
      <c r="I180" s="14">
        <v>0</v>
      </c>
      <c r="J180" s="13">
        <f>1.05*10</f>
        <v>10.5</v>
      </c>
      <c r="K180" s="13">
        <f t="shared" si="12"/>
        <v>10.377500000000001</v>
      </c>
      <c r="L180" s="281">
        <f>MIN(K180:K182)</f>
        <v>9.907499999999999</v>
      </c>
      <c r="M180" s="282" t="s">
        <v>362</v>
      </c>
    </row>
    <row r="181" spans="1:13" ht="28.5">
      <c r="A181" s="300"/>
      <c r="B181" s="76" t="s">
        <v>348</v>
      </c>
      <c r="C181" s="43">
        <v>10</v>
      </c>
      <c r="D181" s="117">
        <f>D273+D514</f>
        <v>4.0625</v>
      </c>
      <c r="E181" s="17">
        <f>D181+'Табл.1 Текущий дефицит'!D181</f>
        <v>5.0925</v>
      </c>
      <c r="F181" s="13">
        <v>4.5</v>
      </c>
      <c r="G181" s="14" t="s">
        <v>4</v>
      </c>
      <c r="H181" s="13">
        <f t="shared" si="11"/>
        <v>0.5925000000000002</v>
      </c>
      <c r="I181" s="14">
        <v>0</v>
      </c>
      <c r="J181" s="13">
        <f>1.05*10</f>
        <v>10.5</v>
      </c>
      <c r="K181" s="13">
        <f t="shared" si="12"/>
        <v>9.907499999999999</v>
      </c>
      <c r="L181" s="281"/>
      <c r="M181" s="282"/>
    </row>
    <row r="182" spans="1:13" ht="28.5">
      <c r="A182" s="300"/>
      <c r="B182" s="76" t="s">
        <v>349</v>
      </c>
      <c r="C182" s="43">
        <v>10</v>
      </c>
      <c r="D182" s="117"/>
      <c r="E182" s="17">
        <f>D182+'Табл.1 Текущий дефицит'!D182</f>
        <v>0.19</v>
      </c>
      <c r="F182" s="13">
        <v>0.66</v>
      </c>
      <c r="G182" s="14">
        <v>120</v>
      </c>
      <c r="H182" s="13">
        <f t="shared" si="11"/>
        <v>-0.47000000000000003</v>
      </c>
      <c r="I182" s="14">
        <v>0</v>
      </c>
      <c r="J182" s="13">
        <f>1.05*10</f>
        <v>10.5</v>
      </c>
      <c r="K182" s="13">
        <f t="shared" si="12"/>
        <v>10.97</v>
      </c>
      <c r="L182" s="281"/>
      <c r="M182" s="282"/>
    </row>
    <row r="183" spans="1:13" ht="28.5">
      <c r="A183" s="300">
        <v>17</v>
      </c>
      <c r="B183" s="76" t="s">
        <v>176</v>
      </c>
      <c r="C183" s="43" t="s">
        <v>316</v>
      </c>
      <c r="D183" s="117">
        <f>D184+D185</f>
        <v>0.5810690000000001</v>
      </c>
      <c r="E183" s="17">
        <f>D183+'Табл.1 Текущий дефицит'!D183</f>
        <v>8.101068999999999</v>
      </c>
      <c r="F183" s="13">
        <v>22.1</v>
      </c>
      <c r="G183" s="14">
        <v>80</v>
      </c>
      <c r="H183" s="13">
        <f t="shared" si="11"/>
        <v>-13.998931000000002</v>
      </c>
      <c r="I183" s="14">
        <v>0</v>
      </c>
      <c r="J183" s="13">
        <f>1.05*25</f>
        <v>26.25</v>
      </c>
      <c r="K183" s="13">
        <f t="shared" si="12"/>
        <v>40.248931</v>
      </c>
      <c r="L183" s="281">
        <f>MIN(K183:K185)</f>
        <v>24.800931</v>
      </c>
      <c r="M183" s="282" t="s">
        <v>362</v>
      </c>
    </row>
    <row r="184" spans="1:13" ht="28.5">
      <c r="A184" s="300"/>
      <c r="B184" s="76" t="s">
        <v>348</v>
      </c>
      <c r="C184" s="43">
        <v>25</v>
      </c>
      <c r="D184" s="117">
        <f>D44+D71+D78+D138+D139+D348</f>
        <v>0.172</v>
      </c>
      <c r="E184" s="17">
        <f>D184+'Табл.1 Текущий дефицит'!D184</f>
        <v>3.3520000000000003</v>
      </c>
      <c r="F184" s="13">
        <v>18.8</v>
      </c>
      <c r="G184" s="14"/>
      <c r="H184" s="13">
        <f t="shared" si="11"/>
        <v>-15.448</v>
      </c>
      <c r="I184" s="14">
        <v>0</v>
      </c>
      <c r="J184" s="13">
        <f>1.05*25</f>
        <v>26.25</v>
      </c>
      <c r="K184" s="13">
        <f t="shared" si="12"/>
        <v>41.698</v>
      </c>
      <c r="L184" s="281"/>
      <c r="M184" s="282"/>
    </row>
    <row r="185" spans="1:13" ht="28.5">
      <c r="A185" s="300"/>
      <c r="B185" s="76" t="s">
        <v>349</v>
      </c>
      <c r="C185" s="43">
        <v>25</v>
      </c>
      <c r="D185" s="117">
        <v>0.409069</v>
      </c>
      <c r="E185" s="17">
        <f>D185+'Табл.1 Текущий дефицит'!D185</f>
        <v>4.7490689999999995</v>
      </c>
      <c r="F185" s="13">
        <v>3.3</v>
      </c>
      <c r="G185" s="14">
        <v>120</v>
      </c>
      <c r="H185" s="13">
        <f t="shared" si="11"/>
        <v>1.4490689999999997</v>
      </c>
      <c r="I185" s="14">
        <v>0</v>
      </c>
      <c r="J185" s="13">
        <f>1.05*25</f>
        <v>26.25</v>
      </c>
      <c r="K185" s="13">
        <f t="shared" si="12"/>
        <v>24.800931</v>
      </c>
      <c r="L185" s="281"/>
      <c r="M185" s="282"/>
    </row>
    <row r="186" spans="1:13" ht="28.5">
      <c r="A186" s="305">
        <v>18</v>
      </c>
      <c r="B186" s="77" t="s">
        <v>177</v>
      </c>
      <c r="C186" s="29" t="s">
        <v>310</v>
      </c>
      <c r="D186" s="116">
        <f>D187+D188</f>
        <v>6.5569999999999995</v>
      </c>
      <c r="E186" s="127">
        <f>D186+'Табл.1 Текущий дефицит'!D186</f>
        <v>18.636999999999997</v>
      </c>
      <c r="F186" s="126">
        <v>5.45</v>
      </c>
      <c r="G186" s="30">
        <v>20</v>
      </c>
      <c r="H186" s="45">
        <f t="shared" si="11"/>
        <v>13.186999999999998</v>
      </c>
      <c r="I186" s="30">
        <v>0</v>
      </c>
      <c r="J186" s="45">
        <f>1.05*6.3</f>
        <v>6.615</v>
      </c>
      <c r="K186" s="45">
        <f t="shared" si="12"/>
        <v>-6.571999999999997</v>
      </c>
      <c r="L186" s="288">
        <f>MIN(K186:K188)</f>
        <v>-6.571999999999997</v>
      </c>
      <c r="M186" s="289" t="s">
        <v>363</v>
      </c>
    </row>
    <row r="187" spans="1:13" ht="28.5">
      <c r="A187" s="305"/>
      <c r="B187" s="77" t="s">
        <v>348</v>
      </c>
      <c r="C187" s="29">
        <v>6.3</v>
      </c>
      <c r="D187" s="116">
        <f>D54+D47+D323+D350+D376</f>
        <v>5.984999999999999</v>
      </c>
      <c r="E187" s="127">
        <f>D187+'Табл.1 Текущий дефицит'!D187</f>
        <v>16.354999999999997</v>
      </c>
      <c r="F187" s="126">
        <v>3.45</v>
      </c>
      <c r="G187" s="30"/>
      <c r="H187" s="45">
        <f t="shared" si="11"/>
        <v>12.904999999999998</v>
      </c>
      <c r="I187" s="30">
        <v>0</v>
      </c>
      <c r="J187" s="45">
        <f>1.05*6.3</f>
        <v>6.615</v>
      </c>
      <c r="K187" s="45">
        <f t="shared" si="12"/>
        <v>-6.289999999999997</v>
      </c>
      <c r="L187" s="288"/>
      <c r="M187" s="289"/>
    </row>
    <row r="188" spans="1:13" ht="28.5">
      <c r="A188" s="305"/>
      <c r="B188" s="77" t="s">
        <v>349</v>
      </c>
      <c r="C188" s="29">
        <v>6.3</v>
      </c>
      <c r="D188" s="116">
        <f>0.089+0.075+0.02+0.015+0.038+0.335</f>
        <v>0.572</v>
      </c>
      <c r="E188" s="127">
        <f>D188+'Табл.1 Текущий дефицит'!D188</f>
        <v>2.282</v>
      </c>
      <c r="F188" s="126">
        <v>2</v>
      </c>
      <c r="G188" s="30">
        <v>20</v>
      </c>
      <c r="H188" s="45">
        <f t="shared" si="11"/>
        <v>0.28200000000000003</v>
      </c>
      <c r="I188" s="30">
        <v>0</v>
      </c>
      <c r="J188" s="45">
        <f>1.05*6.3</f>
        <v>6.615</v>
      </c>
      <c r="K188" s="45">
        <f t="shared" si="12"/>
        <v>6.333</v>
      </c>
      <c r="L188" s="288"/>
      <c r="M188" s="289"/>
    </row>
    <row r="189" spans="1:13" ht="28.5">
      <c r="A189" s="300">
        <v>19</v>
      </c>
      <c r="B189" s="76" t="s">
        <v>178</v>
      </c>
      <c r="C189" s="43" t="s">
        <v>318</v>
      </c>
      <c r="D189" s="117">
        <f>D190+D191</f>
        <v>0.8116</v>
      </c>
      <c r="E189" s="17">
        <f>D189+'Табл.1 Текущий дефицит'!D189</f>
        <v>13.731600000000002</v>
      </c>
      <c r="F189" s="13">
        <v>6.97</v>
      </c>
      <c r="G189" s="14">
        <v>120</v>
      </c>
      <c r="H189" s="13">
        <f t="shared" si="11"/>
        <v>6.761600000000002</v>
      </c>
      <c r="I189" s="14">
        <v>0</v>
      </c>
      <c r="J189" s="13">
        <f>1.05*15</f>
        <v>15.75</v>
      </c>
      <c r="K189" s="13">
        <f t="shared" si="12"/>
        <v>8.988399999999999</v>
      </c>
      <c r="L189" s="281">
        <f>MIN(K189:K191)</f>
        <v>8.988399999999999</v>
      </c>
      <c r="M189" s="282" t="s">
        <v>362</v>
      </c>
    </row>
    <row r="190" spans="1:13" ht="28.5">
      <c r="A190" s="300"/>
      <c r="B190" s="76" t="s">
        <v>348</v>
      </c>
      <c r="C190" s="43" t="s">
        <v>318</v>
      </c>
      <c r="D190" s="117">
        <f>D314+D320+D354+D378</f>
        <v>0.7136</v>
      </c>
      <c r="E190" s="17">
        <f>D190+'Табл.1 Текущий дефицит'!D190</f>
        <v>10.5936</v>
      </c>
      <c r="F190" s="13">
        <v>6.6</v>
      </c>
      <c r="G190" s="14"/>
      <c r="H190" s="13">
        <f t="shared" si="11"/>
        <v>3.9936000000000007</v>
      </c>
      <c r="I190" s="14">
        <v>0</v>
      </c>
      <c r="J190" s="13">
        <f>1.05*15</f>
        <v>15.75</v>
      </c>
      <c r="K190" s="13">
        <f t="shared" si="12"/>
        <v>11.7564</v>
      </c>
      <c r="L190" s="281"/>
      <c r="M190" s="282"/>
    </row>
    <row r="191" spans="1:13" ht="28.5">
      <c r="A191" s="300"/>
      <c r="B191" s="76" t="s">
        <v>349</v>
      </c>
      <c r="C191" s="43" t="s">
        <v>318</v>
      </c>
      <c r="D191" s="117">
        <v>0.098</v>
      </c>
      <c r="E191" s="17">
        <f>D191+'Табл.1 Текущий дефицит'!D191</f>
        <v>3.138</v>
      </c>
      <c r="F191" s="13">
        <v>0.37</v>
      </c>
      <c r="G191" s="14">
        <v>120</v>
      </c>
      <c r="H191" s="13">
        <f t="shared" si="11"/>
        <v>2.768</v>
      </c>
      <c r="I191" s="14">
        <v>0</v>
      </c>
      <c r="J191" s="13">
        <f>1.05*15</f>
        <v>15.75</v>
      </c>
      <c r="K191" s="13">
        <f t="shared" si="12"/>
        <v>12.982</v>
      </c>
      <c r="L191" s="281"/>
      <c r="M191" s="282"/>
    </row>
    <row r="192" spans="1:13" ht="28.5">
      <c r="A192" s="300">
        <v>20</v>
      </c>
      <c r="B192" s="76" t="s">
        <v>179</v>
      </c>
      <c r="C192" s="43" t="s">
        <v>312</v>
      </c>
      <c r="D192" s="117">
        <f>D193+D194</f>
        <v>0.28355</v>
      </c>
      <c r="E192" s="17">
        <f>D192+'Табл.1 Текущий дефицит'!D192</f>
        <v>1.87355</v>
      </c>
      <c r="F192" s="13">
        <v>4.5</v>
      </c>
      <c r="G192" s="14">
        <v>120</v>
      </c>
      <c r="H192" s="13">
        <f t="shared" si="11"/>
        <v>-2.62645</v>
      </c>
      <c r="I192" s="14">
        <v>0</v>
      </c>
      <c r="J192" s="13">
        <f>1.05*16</f>
        <v>16.8</v>
      </c>
      <c r="K192" s="13">
        <f t="shared" si="12"/>
        <v>19.426450000000003</v>
      </c>
      <c r="L192" s="281">
        <f>MIN(K192:K194)</f>
        <v>17.6382</v>
      </c>
      <c r="M192" s="282" t="s">
        <v>362</v>
      </c>
    </row>
    <row r="193" spans="1:13" ht="28.5">
      <c r="A193" s="300"/>
      <c r="B193" s="76" t="s">
        <v>348</v>
      </c>
      <c r="C193" s="43">
        <v>16</v>
      </c>
      <c r="D193" s="117">
        <f>D60+D140+D313+D359</f>
        <v>0.2518</v>
      </c>
      <c r="E193" s="17">
        <f>D193+'Табл.1 Текущий дефицит'!D193</f>
        <v>1.7618</v>
      </c>
      <c r="F193" s="13">
        <v>2.6</v>
      </c>
      <c r="G193" s="14"/>
      <c r="H193" s="13">
        <f t="shared" si="11"/>
        <v>-0.8382000000000001</v>
      </c>
      <c r="I193" s="14">
        <v>0</v>
      </c>
      <c r="J193" s="13">
        <f>1.05*16</f>
        <v>16.8</v>
      </c>
      <c r="K193" s="13">
        <f t="shared" si="12"/>
        <v>17.6382</v>
      </c>
      <c r="L193" s="281"/>
      <c r="M193" s="282"/>
    </row>
    <row r="194" spans="1:13" ht="28.5">
      <c r="A194" s="300"/>
      <c r="B194" s="76" t="s">
        <v>349</v>
      </c>
      <c r="C194" s="43">
        <v>16</v>
      </c>
      <c r="D194" s="117">
        <v>0.03175</v>
      </c>
      <c r="E194" s="17">
        <f>D194+'Табл.1 Текущий дефицит'!D194</f>
        <v>0.11175</v>
      </c>
      <c r="F194" s="13">
        <v>1.9</v>
      </c>
      <c r="G194" s="14">
        <v>120</v>
      </c>
      <c r="H194" s="13">
        <f t="shared" si="11"/>
        <v>-1.78825</v>
      </c>
      <c r="I194" s="14">
        <v>0</v>
      </c>
      <c r="J194" s="13">
        <f>1.05*16</f>
        <v>16.8</v>
      </c>
      <c r="K194" s="13">
        <f t="shared" si="12"/>
        <v>18.588250000000002</v>
      </c>
      <c r="L194" s="281"/>
      <c r="M194" s="282"/>
    </row>
    <row r="195" spans="1:13" ht="28.5">
      <c r="A195" s="300">
        <v>21</v>
      </c>
      <c r="B195" s="76" t="s">
        <v>180</v>
      </c>
      <c r="C195" s="43" t="s">
        <v>319</v>
      </c>
      <c r="D195" s="117">
        <f>D196+D197</f>
        <v>2.745</v>
      </c>
      <c r="E195" s="17">
        <f>D195+'Табл.1 Текущий дефицит'!D195</f>
        <v>55.105</v>
      </c>
      <c r="F195" s="13">
        <v>16.36</v>
      </c>
      <c r="G195" s="14">
        <v>120</v>
      </c>
      <c r="H195" s="13">
        <f t="shared" si="11"/>
        <v>38.745</v>
      </c>
      <c r="I195" s="14">
        <v>0</v>
      </c>
      <c r="J195" s="13">
        <f>1.05*40</f>
        <v>42</v>
      </c>
      <c r="K195" s="13">
        <f t="shared" si="12"/>
        <v>3.2550000000000026</v>
      </c>
      <c r="L195" s="281">
        <f>MIN(K195:K197)</f>
        <v>3.2550000000000026</v>
      </c>
      <c r="M195" s="303" t="s">
        <v>362</v>
      </c>
    </row>
    <row r="196" spans="1:13" ht="28.5">
      <c r="A196" s="300"/>
      <c r="B196" s="76" t="s">
        <v>348</v>
      </c>
      <c r="C196" s="43">
        <v>40</v>
      </c>
      <c r="D196" s="117"/>
      <c r="E196" s="17">
        <f>D196+'Табл.1 Текущий дефицит'!D196</f>
        <v>28.33</v>
      </c>
      <c r="F196" s="13">
        <v>13.06</v>
      </c>
      <c r="G196" s="14">
        <v>120</v>
      </c>
      <c r="H196" s="13">
        <f t="shared" si="11"/>
        <v>15.269999999999998</v>
      </c>
      <c r="I196" s="14">
        <v>0</v>
      </c>
      <c r="J196" s="13">
        <f>1.05*40</f>
        <v>42</v>
      </c>
      <c r="K196" s="13">
        <f t="shared" si="12"/>
        <v>26.730000000000004</v>
      </c>
      <c r="L196" s="281"/>
      <c r="M196" s="303"/>
    </row>
    <row r="197" spans="1:13" ht="28.5">
      <c r="A197" s="300"/>
      <c r="B197" s="76" t="s">
        <v>349</v>
      </c>
      <c r="C197" s="43">
        <v>40</v>
      </c>
      <c r="D197" s="117">
        <v>2.745</v>
      </c>
      <c r="E197" s="17">
        <f>D197+'Табл.1 Текущий дефицит'!D197</f>
        <v>26.775000000000002</v>
      </c>
      <c r="F197" s="13">
        <v>3.3</v>
      </c>
      <c r="G197" s="14">
        <v>120</v>
      </c>
      <c r="H197" s="13">
        <f t="shared" si="11"/>
        <v>23.475</v>
      </c>
      <c r="I197" s="14">
        <v>0</v>
      </c>
      <c r="J197" s="13">
        <f>1.05*40</f>
        <v>42</v>
      </c>
      <c r="K197" s="13">
        <f t="shared" si="12"/>
        <v>18.525</v>
      </c>
      <c r="L197" s="281"/>
      <c r="M197" s="303"/>
    </row>
    <row r="198" spans="1:13" ht="15">
      <c r="A198" s="300">
        <v>22</v>
      </c>
      <c r="B198" s="76" t="s">
        <v>181</v>
      </c>
      <c r="C198" s="43" t="s">
        <v>312</v>
      </c>
      <c r="D198" s="117">
        <f>D199+D200</f>
        <v>1.091</v>
      </c>
      <c r="E198" s="17">
        <f>D198+'Табл.1 Текущий дефицит'!D198</f>
        <v>4.791</v>
      </c>
      <c r="F198" s="13">
        <v>1.2</v>
      </c>
      <c r="G198" s="14">
        <v>120</v>
      </c>
      <c r="H198" s="13">
        <f t="shared" si="11"/>
        <v>3.591</v>
      </c>
      <c r="I198" s="14">
        <v>0</v>
      </c>
      <c r="J198" s="13">
        <f>1.05*16</f>
        <v>16.8</v>
      </c>
      <c r="K198" s="13">
        <f t="shared" si="12"/>
        <v>13.209</v>
      </c>
      <c r="L198" s="281">
        <f>MIN(K198:K200)</f>
        <v>13.209</v>
      </c>
      <c r="M198" s="282" t="s">
        <v>362</v>
      </c>
    </row>
    <row r="199" spans="1:13" ht="28.5">
      <c r="A199" s="300"/>
      <c r="B199" s="76" t="s">
        <v>348</v>
      </c>
      <c r="C199" s="43">
        <v>16</v>
      </c>
      <c r="D199" s="117"/>
      <c r="E199" s="17">
        <f>D199+'Табл.1 Текущий дефицит'!D199</f>
        <v>0</v>
      </c>
      <c r="F199" s="13"/>
      <c r="G199" s="14"/>
      <c r="H199" s="13">
        <f t="shared" si="11"/>
        <v>0</v>
      </c>
      <c r="I199" s="14">
        <v>0</v>
      </c>
      <c r="J199" s="13">
        <f>1.05*16</f>
        <v>16.8</v>
      </c>
      <c r="K199" s="13">
        <f t="shared" si="12"/>
        <v>16.8</v>
      </c>
      <c r="L199" s="281"/>
      <c r="M199" s="282"/>
    </row>
    <row r="200" spans="1:13" ht="28.5">
      <c r="A200" s="300"/>
      <c r="B200" s="76" t="s">
        <v>349</v>
      </c>
      <c r="C200" s="43">
        <v>16</v>
      </c>
      <c r="D200" s="117">
        <v>1.091</v>
      </c>
      <c r="E200" s="17">
        <f>D200+'Табл.1 Текущий дефицит'!D200</f>
        <v>4.791</v>
      </c>
      <c r="F200" s="13">
        <v>1.2</v>
      </c>
      <c r="G200" s="14">
        <f>G198</f>
        <v>120</v>
      </c>
      <c r="H200" s="13">
        <f t="shared" si="11"/>
        <v>3.591</v>
      </c>
      <c r="I200" s="14">
        <v>0</v>
      </c>
      <c r="J200" s="13">
        <f>1.05*16</f>
        <v>16.8</v>
      </c>
      <c r="K200" s="13">
        <f t="shared" si="12"/>
        <v>13.209</v>
      </c>
      <c r="L200" s="281"/>
      <c r="M200" s="282"/>
    </row>
    <row r="201" spans="1:13" ht="28.5">
      <c r="A201" s="42">
        <v>23</v>
      </c>
      <c r="B201" s="76" t="s">
        <v>182</v>
      </c>
      <c r="C201" s="43" t="s">
        <v>319</v>
      </c>
      <c r="D201" s="117"/>
      <c r="E201" s="17">
        <f>D201+'Табл.1 Текущий дефицит'!D201</f>
        <v>6.37</v>
      </c>
      <c r="F201" s="13">
        <v>0</v>
      </c>
      <c r="G201" s="14">
        <v>0</v>
      </c>
      <c r="H201" s="13">
        <f t="shared" si="11"/>
        <v>6.37</v>
      </c>
      <c r="I201" s="14">
        <v>0</v>
      </c>
      <c r="J201" s="13">
        <f>1.05*40</f>
        <v>42</v>
      </c>
      <c r="K201" s="13">
        <f t="shared" si="12"/>
        <v>35.63</v>
      </c>
      <c r="L201" s="13">
        <f>K201</f>
        <v>35.63</v>
      </c>
      <c r="M201" s="23" t="s">
        <v>362</v>
      </c>
    </row>
    <row r="202" spans="1:13" ht="28.5">
      <c r="A202" s="300">
        <v>24</v>
      </c>
      <c r="B202" s="76" t="s">
        <v>183</v>
      </c>
      <c r="C202" s="43" t="s">
        <v>320</v>
      </c>
      <c r="D202" s="117">
        <f>D203+D204</f>
        <v>1.73458</v>
      </c>
      <c r="E202" s="17">
        <f>D202+'Табл.1 Текущий дефицит'!D202</f>
        <v>12.01458</v>
      </c>
      <c r="F202" s="13">
        <v>8</v>
      </c>
      <c r="G202" s="14">
        <v>120</v>
      </c>
      <c r="H202" s="13">
        <f t="shared" si="11"/>
        <v>4.0145800000000005</v>
      </c>
      <c r="I202" s="14">
        <v>0</v>
      </c>
      <c r="J202" s="13">
        <f aca="true" t="shared" si="14" ref="J202:J208">1.05*10</f>
        <v>10.5</v>
      </c>
      <c r="K202" s="13">
        <f t="shared" si="12"/>
        <v>6.4854199999999995</v>
      </c>
      <c r="L202" s="281">
        <f>MIN(K202:K204)</f>
        <v>6.4854199999999995</v>
      </c>
      <c r="M202" s="282" t="s">
        <v>362</v>
      </c>
    </row>
    <row r="203" spans="1:13" ht="28.5">
      <c r="A203" s="300"/>
      <c r="B203" s="76" t="s">
        <v>348</v>
      </c>
      <c r="C203" s="43" t="s">
        <v>320</v>
      </c>
      <c r="D203" s="117">
        <f>D36+D53+D61+D96+D336+D347+D374</f>
        <v>0.7050000000000001</v>
      </c>
      <c r="E203" s="17">
        <f>D203+'Табл.1 Текущий дефицит'!D203</f>
        <v>8.925</v>
      </c>
      <c r="F203" s="13">
        <v>5.9</v>
      </c>
      <c r="G203" s="14"/>
      <c r="H203" s="13">
        <f t="shared" si="11"/>
        <v>3.0250000000000004</v>
      </c>
      <c r="I203" s="14">
        <v>0</v>
      </c>
      <c r="J203" s="13">
        <f t="shared" si="14"/>
        <v>10.5</v>
      </c>
      <c r="K203" s="13">
        <f t="shared" si="12"/>
        <v>7.475</v>
      </c>
      <c r="L203" s="281"/>
      <c r="M203" s="282"/>
    </row>
    <row r="204" spans="1:13" ht="28.5">
      <c r="A204" s="300"/>
      <c r="B204" s="76" t="s">
        <v>349</v>
      </c>
      <c r="C204" s="43" t="s">
        <v>320</v>
      </c>
      <c r="D204" s="117">
        <v>1.02958</v>
      </c>
      <c r="E204" s="17">
        <f>D204+'Табл.1 Текущий дефицит'!D204</f>
        <v>3.0895799999999998</v>
      </c>
      <c r="F204" s="13">
        <v>2.1</v>
      </c>
      <c r="G204" s="14"/>
      <c r="H204" s="13">
        <f t="shared" si="11"/>
        <v>0.9895799999999997</v>
      </c>
      <c r="I204" s="14">
        <v>0</v>
      </c>
      <c r="J204" s="13">
        <f t="shared" si="14"/>
        <v>10.5</v>
      </c>
      <c r="K204" s="13">
        <f t="shared" si="12"/>
        <v>9.51042</v>
      </c>
      <c r="L204" s="281"/>
      <c r="M204" s="282"/>
    </row>
    <row r="205" spans="1:13" ht="15">
      <c r="A205" s="42">
        <v>25</v>
      </c>
      <c r="B205" s="76" t="s">
        <v>184</v>
      </c>
      <c r="C205" s="43" t="s">
        <v>321</v>
      </c>
      <c r="D205" s="117">
        <v>3.672336</v>
      </c>
      <c r="E205" s="17">
        <f>D205+'Табл.1 Текущий дефицит'!D205</f>
        <v>13.942336</v>
      </c>
      <c r="F205" s="13">
        <v>4.1</v>
      </c>
      <c r="G205" s="14">
        <v>0</v>
      </c>
      <c r="H205" s="13">
        <f t="shared" si="11"/>
        <v>9.842336</v>
      </c>
      <c r="I205" s="14">
        <v>0</v>
      </c>
      <c r="J205" s="13">
        <f t="shared" si="14"/>
        <v>10.5</v>
      </c>
      <c r="K205" s="13">
        <f t="shared" si="12"/>
        <v>0.6576640000000005</v>
      </c>
      <c r="L205" s="13">
        <f>K205</f>
        <v>0.6576640000000005</v>
      </c>
      <c r="M205" s="23" t="s">
        <v>362</v>
      </c>
    </row>
    <row r="206" spans="1:13" ht="15">
      <c r="A206" s="300">
        <v>26</v>
      </c>
      <c r="B206" s="76" t="s">
        <v>185</v>
      </c>
      <c r="C206" s="43" t="s">
        <v>315</v>
      </c>
      <c r="D206" s="117">
        <f>D207+D208</f>
        <v>2.92296</v>
      </c>
      <c r="E206" s="17">
        <f>D206+'Табл.1 Текущий дефицит'!D206</f>
        <v>12.61296</v>
      </c>
      <c r="F206" s="13">
        <v>6.63</v>
      </c>
      <c r="G206" s="14">
        <v>10</v>
      </c>
      <c r="H206" s="13">
        <f t="shared" si="11"/>
        <v>5.982959999999999</v>
      </c>
      <c r="I206" s="14">
        <v>0</v>
      </c>
      <c r="J206" s="13">
        <f t="shared" si="14"/>
        <v>10.5</v>
      </c>
      <c r="K206" s="13">
        <f t="shared" si="12"/>
        <v>4.517040000000001</v>
      </c>
      <c r="L206" s="281">
        <f>MIN(K206:K208)</f>
        <v>4.1463600000000005</v>
      </c>
      <c r="M206" s="282" t="s">
        <v>362</v>
      </c>
    </row>
    <row r="207" spans="1:13" ht="28.5">
      <c r="A207" s="300"/>
      <c r="B207" s="76" t="s">
        <v>348</v>
      </c>
      <c r="C207" s="43">
        <v>10</v>
      </c>
      <c r="D207" s="117">
        <f>D67+D101+D103+D121+D142+D327+D369+D393</f>
        <v>1.1293199999999999</v>
      </c>
      <c r="E207" s="17">
        <f>D207+'Табл.1 Текущий дефицит'!D207</f>
        <v>5.6893199999999995</v>
      </c>
      <c r="F207" s="13">
        <v>6.06</v>
      </c>
      <c r="G207" s="14"/>
      <c r="H207" s="13">
        <f t="shared" si="11"/>
        <v>-0.3706800000000001</v>
      </c>
      <c r="I207" s="14">
        <v>0</v>
      </c>
      <c r="J207" s="13">
        <f t="shared" si="14"/>
        <v>10.5</v>
      </c>
      <c r="K207" s="13">
        <f t="shared" si="12"/>
        <v>10.87068</v>
      </c>
      <c r="L207" s="281"/>
      <c r="M207" s="282"/>
    </row>
    <row r="208" spans="1:13" ht="28.5">
      <c r="A208" s="300"/>
      <c r="B208" s="76" t="s">
        <v>349</v>
      </c>
      <c r="C208" s="43">
        <v>10</v>
      </c>
      <c r="D208" s="117">
        <v>1.7936399999999997</v>
      </c>
      <c r="E208" s="17">
        <f>D208+'Табл.1 Текущий дефицит'!D208</f>
        <v>6.92364</v>
      </c>
      <c r="F208" s="13">
        <v>0.57</v>
      </c>
      <c r="G208" s="14">
        <v>120</v>
      </c>
      <c r="H208" s="13">
        <f t="shared" si="11"/>
        <v>6.3536399999999995</v>
      </c>
      <c r="I208" s="14">
        <v>0</v>
      </c>
      <c r="J208" s="13">
        <f t="shared" si="14"/>
        <v>10.5</v>
      </c>
      <c r="K208" s="13">
        <f t="shared" si="12"/>
        <v>4.1463600000000005</v>
      </c>
      <c r="L208" s="281"/>
      <c r="M208" s="282"/>
    </row>
    <row r="209" spans="1:13" ht="15">
      <c r="A209" s="42">
        <v>27</v>
      </c>
      <c r="B209" s="76" t="s">
        <v>186</v>
      </c>
      <c r="C209" s="43" t="s">
        <v>319</v>
      </c>
      <c r="D209" s="117">
        <v>2.9</v>
      </c>
      <c r="E209" s="17">
        <f>D209+'Табл.1 Текущий дефицит'!D209</f>
        <v>5.24</v>
      </c>
      <c r="F209" s="13">
        <v>0</v>
      </c>
      <c r="G209" s="14">
        <v>0</v>
      </c>
      <c r="H209" s="13">
        <f t="shared" si="11"/>
        <v>5.24</v>
      </c>
      <c r="I209" s="14">
        <v>0</v>
      </c>
      <c r="J209" s="13">
        <v>42</v>
      </c>
      <c r="K209" s="13">
        <f t="shared" si="12"/>
        <v>36.76</v>
      </c>
      <c r="L209" s="13">
        <f>K209</f>
        <v>36.76</v>
      </c>
      <c r="M209" s="23" t="s">
        <v>362</v>
      </c>
    </row>
    <row r="210" spans="1:13" ht="15">
      <c r="A210" s="300">
        <v>28</v>
      </c>
      <c r="B210" s="76" t="s">
        <v>187</v>
      </c>
      <c r="C210" s="43" t="s">
        <v>316</v>
      </c>
      <c r="D210" s="117">
        <v>0.013</v>
      </c>
      <c r="E210" s="17">
        <f>D210+'Табл.1 Текущий дефицит'!D210</f>
        <v>13.773</v>
      </c>
      <c r="F210" s="13">
        <v>4</v>
      </c>
      <c r="G210" s="14">
        <v>120</v>
      </c>
      <c r="H210" s="13">
        <f t="shared" si="11"/>
        <v>9.773</v>
      </c>
      <c r="I210" s="14">
        <v>0</v>
      </c>
      <c r="J210" s="13">
        <f>1.05*25</f>
        <v>26.25</v>
      </c>
      <c r="K210" s="13">
        <f t="shared" si="12"/>
        <v>16.477</v>
      </c>
      <c r="L210" s="281">
        <f>MIN(K210:K212)</f>
        <v>16.477</v>
      </c>
      <c r="M210" s="282" t="s">
        <v>362</v>
      </c>
    </row>
    <row r="211" spans="1:13" ht="28.5">
      <c r="A211" s="300"/>
      <c r="B211" s="76" t="s">
        <v>348</v>
      </c>
      <c r="C211" s="43">
        <v>25</v>
      </c>
      <c r="D211" s="117">
        <v>0.663</v>
      </c>
      <c r="E211" s="17">
        <f>D211+'Табл.1 Текущий дефицит'!D211</f>
        <v>2.7329999999999997</v>
      </c>
      <c r="F211" s="13"/>
      <c r="G211" s="14"/>
      <c r="H211" s="13">
        <f t="shared" si="11"/>
        <v>2.7329999999999997</v>
      </c>
      <c r="I211" s="14">
        <v>0</v>
      </c>
      <c r="J211" s="13">
        <f>1.05*25</f>
        <v>26.25</v>
      </c>
      <c r="K211" s="13">
        <f t="shared" si="12"/>
        <v>23.517</v>
      </c>
      <c r="L211" s="281"/>
      <c r="M211" s="282"/>
    </row>
    <row r="212" spans="1:13" ht="28.5">
      <c r="A212" s="300"/>
      <c r="B212" s="76" t="s">
        <v>349</v>
      </c>
      <c r="C212" s="43">
        <v>25</v>
      </c>
      <c r="D212" s="117">
        <v>0.828</v>
      </c>
      <c r="E212" s="17">
        <f>D212+'Табл.1 Текущий дефицит'!D212</f>
        <v>12.517999999999999</v>
      </c>
      <c r="F212" s="13">
        <v>4</v>
      </c>
      <c r="G212" s="14">
        <v>120</v>
      </c>
      <c r="H212" s="13">
        <f t="shared" si="11"/>
        <v>8.517999999999999</v>
      </c>
      <c r="I212" s="14">
        <v>0</v>
      </c>
      <c r="J212" s="13">
        <f>1.05*25</f>
        <v>26.25</v>
      </c>
      <c r="K212" s="13">
        <f t="shared" si="12"/>
        <v>17.732</v>
      </c>
      <c r="L212" s="281"/>
      <c r="M212" s="282"/>
    </row>
    <row r="213" spans="1:13" ht="28.5">
      <c r="A213" s="304">
        <v>29</v>
      </c>
      <c r="B213" s="76" t="s">
        <v>24</v>
      </c>
      <c r="C213" s="43" t="s">
        <v>312</v>
      </c>
      <c r="D213" s="117">
        <f>D214+D215</f>
        <v>0.16300000000000003</v>
      </c>
      <c r="E213" s="17">
        <f>D213+'Табл.1 Текущий дефицит'!D213</f>
        <v>9.103</v>
      </c>
      <c r="F213" s="11">
        <v>10.6</v>
      </c>
      <c r="G213" s="12">
        <v>120</v>
      </c>
      <c r="H213" s="11">
        <f t="shared" si="11"/>
        <v>-1.4969999999999999</v>
      </c>
      <c r="I213" s="12">
        <v>0</v>
      </c>
      <c r="J213" s="11">
        <f>1.05*16</f>
        <v>16.8</v>
      </c>
      <c r="K213" s="13">
        <f t="shared" si="12"/>
        <v>18.297</v>
      </c>
      <c r="L213" s="281">
        <f>MIN(K213:K215)</f>
        <v>17.42</v>
      </c>
      <c r="M213" s="282" t="s">
        <v>362</v>
      </c>
    </row>
    <row r="214" spans="1:13" ht="28.5">
      <c r="A214" s="304"/>
      <c r="B214" s="76" t="s">
        <v>348</v>
      </c>
      <c r="C214" s="43">
        <v>16</v>
      </c>
      <c r="D214" s="117">
        <f>D342+D386</f>
        <v>0.16300000000000003</v>
      </c>
      <c r="E214" s="17">
        <f>D214+'Табл.1 Текущий дефицит'!D214</f>
        <v>4.423</v>
      </c>
      <c r="F214" s="11">
        <v>5.3</v>
      </c>
      <c r="G214" s="12"/>
      <c r="H214" s="11">
        <f t="shared" si="11"/>
        <v>-0.8769999999999998</v>
      </c>
      <c r="I214" s="12">
        <v>0</v>
      </c>
      <c r="J214" s="11">
        <f>1.05*16</f>
        <v>16.8</v>
      </c>
      <c r="K214" s="13">
        <f t="shared" si="12"/>
        <v>17.677</v>
      </c>
      <c r="L214" s="281"/>
      <c r="M214" s="282"/>
    </row>
    <row r="215" spans="1:13" ht="28.5">
      <c r="A215" s="304"/>
      <c r="B215" s="76" t="s">
        <v>349</v>
      </c>
      <c r="C215" s="43">
        <v>16</v>
      </c>
      <c r="D215" s="117"/>
      <c r="E215" s="17">
        <f>D215+'Табл.1 Текущий дефицит'!D215</f>
        <v>4.68</v>
      </c>
      <c r="F215" s="11">
        <v>5.3</v>
      </c>
      <c r="G215" s="12">
        <v>120</v>
      </c>
      <c r="H215" s="11">
        <f t="shared" si="11"/>
        <v>-0.6200000000000001</v>
      </c>
      <c r="I215" s="12">
        <v>0</v>
      </c>
      <c r="J215" s="11">
        <f>1.05*16</f>
        <v>16.8</v>
      </c>
      <c r="K215" s="13">
        <f t="shared" si="12"/>
        <v>17.42</v>
      </c>
      <c r="L215" s="281"/>
      <c r="M215" s="282"/>
    </row>
    <row r="216" spans="1:13" ht="28.5">
      <c r="A216" s="300">
        <v>30</v>
      </c>
      <c r="B216" s="76" t="s">
        <v>188</v>
      </c>
      <c r="C216" s="43" t="s">
        <v>309</v>
      </c>
      <c r="D216" s="117">
        <f>D217+D218</f>
        <v>1.097</v>
      </c>
      <c r="E216" s="17">
        <f>D216+'Табл.1 Текущий дефицит'!D216</f>
        <v>6.997</v>
      </c>
      <c r="F216" s="13">
        <v>13.1</v>
      </c>
      <c r="G216" s="14">
        <v>120</v>
      </c>
      <c r="H216" s="13">
        <f aca="true" t="shared" si="15" ref="H216:H282">E216-F216</f>
        <v>-6.103</v>
      </c>
      <c r="I216" s="14">
        <v>0</v>
      </c>
      <c r="J216" s="13">
        <f>1.05*6.3</f>
        <v>6.615</v>
      </c>
      <c r="K216" s="13">
        <f t="shared" si="12"/>
        <v>12.718</v>
      </c>
      <c r="L216" s="281">
        <f>MIN(K216:K218)</f>
        <v>5.973000000000001</v>
      </c>
      <c r="M216" s="282" t="s">
        <v>362</v>
      </c>
    </row>
    <row r="217" spans="1:13" ht="28.5">
      <c r="A217" s="300"/>
      <c r="B217" s="76" t="s">
        <v>348</v>
      </c>
      <c r="C217" s="43" t="s">
        <v>309</v>
      </c>
      <c r="D217" s="117">
        <f>D55+D91+D92+D310+D346</f>
        <v>0.355</v>
      </c>
      <c r="E217" s="17">
        <f>D217+'Табл.1 Текущий дефицит'!D217</f>
        <v>5.055</v>
      </c>
      <c r="F217" s="13">
        <v>11.8</v>
      </c>
      <c r="G217" s="14"/>
      <c r="H217" s="13">
        <f t="shared" si="15"/>
        <v>-6.745000000000001</v>
      </c>
      <c r="I217" s="14">
        <v>0</v>
      </c>
      <c r="J217" s="13">
        <f>1.05*6.3</f>
        <v>6.615</v>
      </c>
      <c r="K217" s="13">
        <f aca="true" t="shared" si="16" ref="K217:K283">J217-I217-H217</f>
        <v>13.360000000000001</v>
      </c>
      <c r="L217" s="281"/>
      <c r="M217" s="282"/>
    </row>
    <row r="218" spans="1:13" ht="28.5">
      <c r="A218" s="300"/>
      <c r="B218" s="76" t="s">
        <v>349</v>
      </c>
      <c r="C218" s="43" t="s">
        <v>309</v>
      </c>
      <c r="D218" s="117">
        <v>0.742</v>
      </c>
      <c r="E218" s="17">
        <f>D218+'Табл.1 Текущий дефицит'!D218</f>
        <v>1.942</v>
      </c>
      <c r="F218" s="13">
        <v>1.3</v>
      </c>
      <c r="G218" s="14"/>
      <c r="H218" s="13">
        <f t="shared" si="15"/>
        <v>0.6419999999999999</v>
      </c>
      <c r="I218" s="14">
        <v>0</v>
      </c>
      <c r="J218" s="13">
        <f>1.05*6.3</f>
        <v>6.615</v>
      </c>
      <c r="K218" s="13">
        <f t="shared" si="16"/>
        <v>5.973000000000001</v>
      </c>
      <c r="L218" s="281"/>
      <c r="M218" s="282"/>
    </row>
    <row r="219" spans="1:13" ht="28.5">
      <c r="A219" s="300">
        <v>31</v>
      </c>
      <c r="B219" s="76" t="s">
        <v>189</v>
      </c>
      <c r="C219" s="43" t="s">
        <v>312</v>
      </c>
      <c r="D219" s="117">
        <f>D220+D221</f>
        <v>1.2565000000000002</v>
      </c>
      <c r="E219" s="17">
        <f>D219+'Табл.1 Текущий дефицит'!D219</f>
        <v>8.6365</v>
      </c>
      <c r="F219" s="13">
        <v>9.35</v>
      </c>
      <c r="G219" s="14">
        <v>10</v>
      </c>
      <c r="H219" s="13">
        <f t="shared" si="15"/>
        <v>-0.7134999999999998</v>
      </c>
      <c r="I219" s="14">
        <v>0</v>
      </c>
      <c r="J219" s="13">
        <f>1.05*16</f>
        <v>16.8</v>
      </c>
      <c r="K219" s="13">
        <f t="shared" si="16"/>
        <v>17.5135</v>
      </c>
      <c r="L219" s="281">
        <f>MIN(K219:K221)</f>
        <v>16.84</v>
      </c>
      <c r="M219" s="282" t="s">
        <v>362</v>
      </c>
    </row>
    <row r="220" spans="1:13" ht="28.5">
      <c r="A220" s="300"/>
      <c r="B220" s="76" t="s">
        <v>348</v>
      </c>
      <c r="C220" s="43">
        <v>16</v>
      </c>
      <c r="D220" s="117">
        <f>D115+D345+D367+D381</f>
        <v>1.2065000000000001</v>
      </c>
      <c r="E220" s="17">
        <f>D220+'Табл.1 Текущий дефицит'!D220</f>
        <v>8.4165</v>
      </c>
      <c r="F220" s="13">
        <v>9.09</v>
      </c>
      <c r="G220" s="14"/>
      <c r="H220" s="13">
        <f t="shared" si="15"/>
        <v>-0.6735000000000007</v>
      </c>
      <c r="I220" s="14">
        <v>0</v>
      </c>
      <c r="J220" s="13">
        <f>1.05*16</f>
        <v>16.8</v>
      </c>
      <c r="K220" s="13">
        <f t="shared" si="16"/>
        <v>17.4735</v>
      </c>
      <c r="L220" s="281"/>
      <c r="M220" s="282"/>
    </row>
    <row r="221" spans="1:13" ht="28.5">
      <c r="A221" s="300"/>
      <c r="B221" s="76" t="s">
        <v>349</v>
      </c>
      <c r="C221" s="43">
        <v>16</v>
      </c>
      <c r="D221" s="117">
        <v>0.05</v>
      </c>
      <c r="E221" s="17">
        <f>D221+'Табл.1 Текущий дефицит'!D221</f>
        <v>0.22000000000000003</v>
      </c>
      <c r="F221" s="13">
        <v>0.26</v>
      </c>
      <c r="G221" s="14">
        <v>120</v>
      </c>
      <c r="H221" s="13">
        <f t="shared" si="15"/>
        <v>-0.03999999999999998</v>
      </c>
      <c r="I221" s="14">
        <v>0</v>
      </c>
      <c r="J221" s="13">
        <f>1.05*16</f>
        <v>16.8</v>
      </c>
      <c r="K221" s="13">
        <f t="shared" si="16"/>
        <v>16.84</v>
      </c>
      <c r="L221" s="281"/>
      <c r="M221" s="282"/>
    </row>
    <row r="222" spans="1:13" ht="28.5">
      <c r="A222" s="300">
        <v>32</v>
      </c>
      <c r="B222" s="76" t="s">
        <v>190</v>
      </c>
      <c r="C222" s="43" t="s">
        <v>309</v>
      </c>
      <c r="D222" s="117">
        <f>D223+D224</f>
        <v>3.417</v>
      </c>
      <c r="E222" s="17">
        <f>D222+'Табл.1 Текущий дефицит'!D222</f>
        <v>9.227</v>
      </c>
      <c r="F222" s="13">
        <v>9.6</v>
      </c>
      <c r="G222" s="14">
        <v>120</v>
      </c>
      <c r="H222" s="13">
        <f t="shared" si="15"/>
        <v>-0.37299999999999933</v>
      </c>
      <c r="I222" s="14">
        <v>0</v>
      </c>
      <c r="J222" s="13">
        <f>1.05*6.3</f>
        <v>6.615</v>
      </c>
      <c r="K222" s="13">
        <f t="shared" si="16"/>
        <v>6.9879999999999995</v>
      </c>
      <c r="L222" s="281">
        <f>MIN(K222:K224)</f>
        <v>4.616999999999999</v>
      </c>
      <c r="M222" s="282" t="s">
        <v>362</v>
      </c>
    </row>
    <row r="223" spans="1:13" ht="28.5">
      <c r="A223" s="300"/>
      <c r="B223" s="76" t="s">
        <v>348</v>
      </c>
      <c r="C223" s="43" t="s">
        <v>309</v>
      </c>
      <c r="D223" s="117">
        <f>D63+D106+D337+D340+D373+D380</f>
        <v>3.408</v>
      </c>
      <c r="E223" s="17">
        <f>D223+'Табл.1 Текущий дефицит'!D223</f>
        <v>8.598</v>
      </c>
      <c r="F223" s="13">
        <v>6.6</v>
      </c>
      <c r="G223" s="14">
        <v>120</v>
      </c>
      <c r="H223" s="13">
        <f t="shared" si="15"/>
        <v>1.998000000000001</v>
      </c>
      <c r="I223" s="14">
        <v>0</v>
      </c>
      <c r="J223" s="13">
        <f>1.05*6.3</f>
        <v>6.615</v>
      </c>
      <c r="K223" s="13">
        <f t="shared" si="16"/>
        <v>4.616999999999999</v>
      </c>
      <c r="L223" s="281"/>
      <c r="M223" s="282"/>
    </row>
    <row r="224" spans="1:13" ht="28.5">
      <c r="A224" s="300"/>
      <c r="B224" s="76" t="s">
        <v>349</v>
      </c>
      <c r="C224" s="43" t="s">
        <v>309</v>
      </c>
      <c r="D224" s="117">
        <v>0.009</v>
      </c>
      <c r="E224" s="17">
        <f>D224+'Табл.1 Текущий дефицит'!D224</f>
        <v>0.629</v>
      </c>
      <c r="F224" s="13">
        <v>3</v>
      </c>
      <c r="G224" s="14">
        <v>45</v>
      </c>
      <c r="H224" s="13">
        <f t="shared" si="15"/>
        <v>-2.371</v>
      </c>
      <c r="I224" s="14">
        <v>0</v>
      </c>
      <c r="J224" s="13">
        <f>1.05*6.3</f>
        <v>6.615</v>
      </c>
      <c r="K224" s="13">
        <f t="shared" si="16"/>
        <v>8.986</v>
      </c>
      <c r="L224" s="281"/>
      <c r="M224" s="282"/>
    </row>
    <row r="225" spans="1:13" ht="28.5">
      <c r="A225" s="42">
        <v>33</v>
      </c>
      <c r="B225" s="76" t="s">
        <v>191</v>
      </c>
      <c r="C225" s="43" t="s">
        <v>310</v>
      </c>
      <c r="D225" s="117">
        <v>0.381</v>
      </c>
      <c r="E225" s="17">
        <f>D225+'Табл.1 Текущий дефицит'!D225</f>
        <v>0.991</v>
      </c>
      <c r="F225" s="13">
        <v>0.55</v>
      </c>
      <c r="G225" s="14">
        <v>120</v>
      </c>
      <c r="H225" s="13">
        <f t="shared" si="15"/>
        <v>0.44099999999999995</v>
      </c>
      <c r="I225" s="14">
        <v>0</v>
      </c>
      <c r="J225" s="13">
        <v>6.615</v>
      </c>
      <c r="K225" s="13">
        <f t="shared" si="16"/>
        <v>6.174</v>
      </c>
      <c r="L225" s="13">
        <f>K225</f>
        <v>6.174</v>
      </c>
      <c r="M225" s="23" t="s">
        <v>362</v>
      </c>
    </row>
    <row r="226" spans="1:13" ht="28.5">
      <c r="A226" s="300">
        <v>34</v>
      </c>
      <c r="B226" s="76" t="s">
        <v>192</v>
      </c>
      <c r="C226" s="43" t="s">
        <v>321</v>
      </c>
      <c r="D226" s="117">
        <f>D227+D228</f>
        <v>0.402937</v>
      </c>
      <c r="E226" s="17">
        <f>D226+'Табл.1 Текущий дефицит'!D226</f>
        <v>6.4929369999999995</v>
      </c>
      <c r="F226" s="13">
        <v>8.11</v>
      </c>
      <c r="G226" s="14">
        <v>120</v>
      </c>
      <c r="H226" s="13">
        <f t="shared" si="15"/>
        <v>-1.617063</v>
      </c>
      <c r="I226" s="14">
        <v>0</v>
      </c>
      <c r="J226" s="13">
        <f>1.05*10</f>
        <v>10.5</v>
      </c>
      <c r="K226" s="13">
        <f t="shared" si="16"/>
        <v>12.117063</v>
      </c>
      <c r="L226" s="281">
        <f>MIN(K226:K228)</f>
        <v>11.262563</v>
      </c>
      <c r="M226" s="282" t="s">
        <v>362</v>
      </c>
    </row>
    <row r="227" spans="1:13" ht="28.5">
      <c r="A227" s="300"/>
      <c r="B227" s="76" t="s">
        <v>348</v>
      </c>
      <c r="C227" s="43" t="s">
        <v>321</v>
      </c>
      <c r="D227" s="117">
        <f>D39+D69+D90+D135+D338+D361+D377</f>
        <v>0.347437</v>
      </c>
      <c r="E227" s="17">
        <f>D227+'Табл.1 Текущий дефицит'!D227</f>
        <v>4.137437</v>
      </c>
      <c r="F227" s="13">
        <v>4.9</v>
      </c>
      <c r="G227" s="14"/>
      <c r="H227" s="13">
        <f t="shared" si="15"/>
        <v>-0.7625630000000001</v>
      </c>
      <c r="I227" s="14">
        <v>0</v>
      </c>
      <c r="J227" s="13">
        <f aca="true" t="shared" si="17" ref="J227:J232">1.05*10</f>
        <v>10.5</v>
      </c>
      <c r="K227" s="13">
        <f t="shared" si="16"/>
        <v>11.262563</v>
      </c>
      <c r="L227" s="281"/>
      <c r="M227" s="282"/>
    </row>
    <row r="228" spans="1:13" ht="28.5">
      <c r="A228" s="300"/>
      <c r="B228" s="76" t="s">
        <v>349</v>
      </c>
      <c r="C228" s="43" t="s">
        <v>321</v>
      </c>
      <c r="D228" s="117">
        <v>0.0555</v>
      </c>
      <c r="E228" s="17">
        <f>D228+'Табл.1 Текущий дефицит'!D228</f>
        <v>2.3554999999999997</v>
      </c>
      <c r="F228" s="13">
        <v>3.21</v>
      </c>
      <c r="G228" s="14"/>
      <c r="H228" s="13">
        <f t="shared" si="15"/>
        <v>-0.8545000000000003</v>
      </c>
      <c r="I228" s="14">
        <v>0</v>
      </c>
      <c r="J228" s="13">
        <f t="shared" si="17"/>
        <v>10.5</v>
      </c>
      <c r="K228" s="13">
        <f t="shared" si="16"/>
        <v>11.3545</v>
      </c>
      <c r="L228" s="281"/>
      <c r="M228" s="282"/>
    </row>
    <row r="229" spans="1:13" ht="28.5">
      <c r="A229" s="300">
        <v>35</v>
      </c>
      <c r="B229" s="76" t="s">
        <v>193</v>
      </c>
      <c r="C229" s="43" t="s">
        <v>315</v>
      </c>
      <c r="D229" s="117">
        <f>D230+D231</f>
        <v>0.7750000000000001</v>
      </c>
      <c r="E229" s="17">
        <f>D229+'Табл.1 Текущий дефицит'!D229</f>
        <v>8.065</v>
      </c>
      <c r="F229" s="13">
        <v>19.220000000000002</v>
      </c>
      <c r="G229" s="14">
        <v>120</v>
      </c>
      <c r="H229" s="13">
        <f t="shared" si="15"/>
        <v>-11.155000000000003</v>
      </c>
      <c r="I229" s="14">
        <v>0</v>
      </c>
      <c r="J229" s="13">
        <f t="shared" si="17"/>
        <v>10.5</v>
      </c>
      <c r="K229" s="13">
        <f t="shared" si="16"/>
        <v>21.655</v>
      </c>
      <c r="L229" s="281">
        <f>MIN(K229:K231)</f>
        <v>7.997000000000001</v>
      </c>
      <c r="M229" s="282" t="s">
        <v>362</v>
      </c>
    </row>
    <row r="230" spans="1:13" ht="28.5">
      <c r="A230" s="300"/>
      <c r="B230" s="76" t="s">
        <v>348</v>
      </c>
      <c r="C230" s="43">
        <v>10</v>
      </c>
      <c r="D230" s="117">
        <f>D59+D81+D130+D308+D322+D371</f>
        <v>0.4620000000000001</v>
      </c>
      <c r="E230" s="17">
        <f>D230+'Табл.1 Текущий дефицит'!D230</f>
        <v>3.442</v>
      </c>
      <c r="F230" s="13">
        <v>17.1</v>
      </c>
      <c r="G230" s="14"/>
      <c r="H230" s="13">
        <f t="shared" si="15"/>
        <v>-13.658000000000001</v>
      </c>
      <c r="I230" s="14">
        <v>0</v>
      </c>
      <c r="J230" s="13">
        <f t="shared" si="17"/>
        <v>10.5</v>
      </c>
      <c r="K230" s="13">
        <f t="shared" si="16"/>
        <v>24.158</v>
      </c>
      <c r="L230" s="281"/>
      <c r="M230" s="282"/>
    </row>
    <row r="231" spans="1:13" ht="28.5">
      <c r="A231" s="300"/>
      <c r="B231" s="76" t="s">
        <v>349</v>
      </c>
      <c r="C231" s="43">
        <v>10</v>
      </c>
      <c r="D231" s="117">
        <v>0.31300000000000006</v>
      </c>
      <c r="E231" s="17">
        <f>D231+'Табл.1 Текущий дефицит'!D231</f>
        <v>4.622999999999999</v>
      </c>
      <c r="F231" s="13">
        <v>2.12</v>
      </c>
      <c r="G231" s="14">
        <v>120</v>
      </c>
      <c r="H231" s="13">
        <f t="shared" si="15"/>
        <v>2.5029999999999992</v>
      </c>
      <c r="I231" s="14">
        <v>0</v>
      </c>
      <c r="J231" s="13">
        <f t="shared" si="17"/>
        <v>10.5</v>
      </c>
      <c r="K231" s="13">
        <f t="shared" si="16"/>
        <v>7.997000000000001</v>
      </c>
      <c r="L231" s="281"/>
      <c r="M231" s="282"/>
    </row>
    <row r="232" spans="1:13" ht="15">
      <c r="A232" s="42">
        <v>36</v>
      </c>
      <c r="B232" s="76" t="s">
        <v>194</v>
      </c>
      <c r="C232" s="43" t="s">
        <v>315</v>
      </c>
      <c r="D232" s="117">
        <v>0.014</v>
      </c>
      <c r="E232" s="17">
        <f>D232+'Табл.1 Текущий дефицит'!D232</f>
        <v>0.124</v>
      </c>
      <c r="F232" s="13"/>
      <c r="G232" s="14"/>
      <c r="H232" s="13">
        <f t="shared" si="15"/>
        <v>0.124</v>
      </c>
      <c r="I232" s="14">
        <v>0</v>
      </c>
      <c r="J232" s="13">
        <f t="shared" si="17"/>
        <v>10.5</v>
      </c>
      <c r="K232" s="13">
        <f t="shared" si="16"/>
        <v>10.376</v>
      </c>
      <c r="L232" s="13">
        <f>K232</f>
        <v>10.376</v>
      </c>
      <c r="M232" s="23" t="s">
        <v>362</v>
      </c>
    </row>
    <row r="233" spans="1:13" ht="28.5">
      <c r="A233" s="300">
        <v>37</v>
      </c>
      <c r="B233" s="76" t="s">
        <v>195</v>
      </c>
      <c r="C233" s="43" t="s">
        <v>322</v>
      </c>
      <c r="D233" s="117">
        <f>D234+D235</f>
        <v>2.0032</v>
      </c>
      <c r="E233" s="17">
        <f>D233+'Табл.1 Текущий дефицит'!D233</f>
        <v>18.2532</v>
      </c>
      <c r="F233" s="13">
        <v>26.86</v>
      </c>
      <c r="G233" s="14">
        <v>120</v>
      </c>
      <c r="H233" s="13">
        <f t="shared" si="15"/>
        <v>-8.6068</v>
      </c>
      <c r="I233" s="14">
        <v>0</v>
      </c>
      <c r="J233" s="13">
        <f aca="true" t="shared" si="18" ref="J233:J238">1.05*16</f>
        <v>16.8</v>
      </c>
      <c r="K233" s="13">
        <f t="shared" si="16"/>
        <v>25.4068</v>
      </c>
      <c r="L233" s="281">
        <f>MIN(K233:K235)</f>
        <v>10.0898</v>
      </c>
      <c r="M233" s="282" t="s">
        <v>362</v>
      </c>
    </row>
    <row r="234" spans="1:13" ht="28.5">
      <c r="A234" s="300"/>
      <c r="B234" s="76" t="s">
        <v>348</v>
      </c>
      <c r="C234" s="43" t="s">
        <v>322</v>
      </c>
      <c r="D234" s="117">
        <f>D56+D68+D94+D392</f>
        <v>0.083</v>
      </c>
      <c r="E234" s="17">
        <f>D234+'Табл.1 Текущий дефицит'!D234</f>
        <v>2.083</v>
      </c>
      <c r="F234" s="13">
        <v>17.4</v>
      </c>
      <c r="G234" s="14">
        <v>0</v>
      </c>
      <c r="H234" s="13">
        <f t="shared" si="15"/>
        <v>-15.316999999999998</v>
      </c>
      <c r="I234" s="14">
        <v>0</v>
      </c>
      <c r="J234" s="13">
        <f t="shared" si="18"/>
        <v>16.8</v>
      </c>
      <c r="K234" s="13">
        <f t="shared" si="16"/>
        <v>32.117</v>
      </c>
      <c r="L234" s="281"/>
      <c r="M234" s="282"/>
    </row>
    <row r="235" spans="1:13" ht="28.5">
      <c r="A235" s="300"/>
      <c r="B235" s="76" t="s">
        <v>349</v>
      </c>
      <c r="C235" s="43" t="s">
        <v>322</v>
      </c>
      <c r="D235" s="117">
        <v>1.9202000000000001</v>
      </c>
      <c r="E235" s="17">
        <f>D235+'Табл.1 Текущий дефицит'!D235</f>
        <v>16.1702</v>
      </c>
      <c r="F235" s="13">
        <v>9.46</v>
      </c>
      <c r="G235" s="14"/>
      <c r="H235" s="13">
        <f t="shared" si="15"/>
        <v>6.7102</v>
      </c>
      <c r="I235" s="14">
        <v>0</v>
      </c>
      <c r="J235" s="13">
        <f t="shared" si="18"/>
        <v>16.8</v>
      </c>
      <c r="K235" s="13">
        <f t="shared" si="16"/>
        <v>10.0898</v>
      </c>
      <c r="L235" s="281"/>
      <c r="M235" s="282"/>
    </row>
    <row r="236" spans="1:13" ht="28.5">
      <c r="A236" s="300">
        <v>38</v>
      </c>
      <c r="B236" s="76" t="s">
        <v>196</v>
      </c>
      <c r="C236" s="43" t="s">
        <v>323</v>
      </c>
      <c r="D236" s="117">
        <f>D237+D238</f>
        <v>0.9780000000000001</v>
      </c>
      <c r="E236" s="17">
        <f>D236+'Табл.1 Текущий дефицит'!D236</f>
        <v>12.328</v>
      </c>
      <c r="F236" s="13">
        <v>15.5</v>
      </c>
      <c r="G236" s="14">
        <v>120</v>
      </c>
      <c r="H236" s="13">
        <f t="shared" si="15"/>
        <v>-3.1720000000000006</v>
      </c>
      <c r="I236" s="14">
        <v>0</v>
      </c>
      <c r="J236" s="13">
        <f t="shared" si="18"/>
        <v>16.8</v>
      </c>
      <c r="K236" s="13">
        <f t="shared" si="16"/>
        <v>19.972</v>
      </c>
      <c r="L236" s="281">
        <f>MIN(K236:K238)</f>
        <v>13.641000000000002</v>
      </c>
      <c r="M236" s="282" t="s">
        <v>362</v>
      </c>
    </row>
    <row r="237" spans="1:13" ht="28.5">
      <c r="A237" s="300"/>
      <c r="B237" s="76" t="s">
        <v>348</v>
      </c>
      <c r="C237" s="43">
        <v>16</v>
      </c>
      <c r="D237" s="117">
        <f>D52+D87+D352+D384</f>
        <v>0.23900000000000002</v>
      </c>
      <c r="E237" s="17">
        <f>D237+'Табл.1 Текущий дефицит'!D237</f>
        <v>8.169</v>
      </c>
      <c r="F237" s="13">
        <v>14.5</v>
      </c>
      <c r="G237" s="14"/>
      <c r="H237" s="13">
        <f t="shared" si="15"/>
        <v>-6.3309999999999995</v>
      </c>
      <c r="I237" s="14">
        <v>0</v>
      </c>
      <c r="J237" s="13">
        <f t="shared" si="18"/>
        <v>16.8</v>
      </c>
      <c r="K237" s="13">
        <f t="shared" si="16"/>
        <v>23.131</v>
      </c>
      <c r="L237" s="281"/>
      <c r="M237" s="282"/>
    </row>
    <row r="238" spans="1:13" ht="28.5">
      <c r="A238" s="300"/>
      <c r="B238" s="76" t="s">
        <v>349</v>
      </c>
      <c r="C238" s="43">
        <v>16</v>
      </c>
      <c r="D238" s="117">
        <v>0.7390000000000001</v>
      </c>
      <c r="E238" s="17">
        <f>D238+'Табл.1 Текущий дефицит'!D238</f>
        <v>4.159</v>
      </c>
      <c r="F238" s="13">
        <v>1</v>
      </c>
      <c r="G238" s="14">
        <v>120</v>
      </c>
      <c r="H238" s="13">
        <f t="shared" si="15"/>
        <v>3.159</v>
      </c>
      <c r="I238" s="14">
        <v>0</v>
      </c>
      <c r="J238" s="13">
        <f t="shared" si="18"/>
        <v>16.8</v>
      </c>
      <c r="K238" s="13">
        <f t="shared" si="16"/>
        <v>13.641000000000002</v>
      </c>
      <c r="L238" s="281"/>
      <c r="M238" s="282"/>
    </row>
    <row r="239" spans="1:13" ht="28.5">
      <c r="A239" s="300">
        <v>39</v>
      </c>
      <c r="B239" s="76" t="s">
        <v>197</v>
      </c>
      <c r="C239" s="43" t="s">
        <v>324</v>
      </c>
      <c r="D239" s="117">
        <f>D240+D241</f>
        <v>0.1344</v>
      </c>
      <c r="E239" s="17">
        <f>D239+'Табл.1 Текущий дефицит'!D239</f>
        <v>1.8944</v>
      </c>
      <c r="F239" s="13">
        <v>6.3100000000000005</v>
      </c>
      <c r="G239" s="14">
        <v>120</v>
      </c>
      <c r="H239" s="13">
        <f t="shared" si="15"/>
        <v>-4.4156</v>
      </c>
      <c r="I239" s="14">
        <v>0</v>
      </c>
      <c r="J239" s="13">
        <f>1.05*6.3</f>
        <v>6.615</v>
      </c>
      <c r="K239" s="13">
        <f t="shared" si="16"/>
        <v>11.0306</v>
      </c>
      <c r="L239" s="281">
        <f>MIN(K239:K241)</f>
        <v>7.377000000000001</v>
      </c>
      <c r="M239" s="282" t="s">
        <v>362</v>
      </c>
    </row>
    <row r="240" spans="1:13" ht="28.5">
      <c r="A240" s="300"/>
      <c r="B240" s="76" t="s">
        <v>348</v>
      </c>
      <c r="C240" s="43">
        <v>6.3</v>
      </c>
      <c r="D240" s="117">
        <f>D79+D104+D111+D110+D113+D332</f>
        <v>0.0964</v>
      </c>
      <c r="E240" s="17">
        <f>D240+'Табл.1 Текущий дефицит'!D240</f>
        <v>1.3464</v>
      </c>
      <c r="F240" s="13">
        <v>5</v>
      </c>
      <c r="G240" s="14">
        <v>120</v>
      </c>
      <c r="H240" s="13">
        <f t="shared" si="15"/>
        <v>-3.6536</v>
      </c>
      <c r="I240" s="14">
        <v>0</v>
      </c>
      <c r="J240" s="13">
        <f>1.05*6.3</f>
        <v>6.615</v>
      </c>
      <c r="K240" s="13">
        <f t="shared" si="16"/>
        <v>10.2686</v>
      </c>
      <c r="L240" s="281"/>
      <c r="M240" s="282"/>
    </row>
    <row r="241" spans="1:13" ht="28.5">
      <c r="A241" s="300"/>
      <c r="B241" s="76" t="s">
        <v>349</v>
      </c>
      <c r="C241" s="43">
        <v>6.3</v>
      </c>
      <c r="D241" s="117">
        <f>0.025+0.013</f>
        <v>0.038</v>
      </c>
      <c r="E241" s="17">
        <f>D241+'Табл.1 Текущий дефицит'!D241</f>
        <v>0.548</v>
      </c>
      <c r="F241" s="13">
        <v>1.31</v>
      </c>
      <c r="G241" s="14">
        <v>120</v>
      </c>
      <c r="H241" s="13">
        <f t="shared" si="15"/>
        <v>-0.762</v>
      </c>
      <c r="I241" s="14">
        <v>0</v>
      </c>
      <c r="J241" s="13">
        <f>1.05*6.3</f>
        <v>6.615</v>
      </c>
      <c r="K241" s="13">
        <f t="shared" si="16"/>
        <v>7.377000000000001</v>
      </c>
      <c r="L241" s="281"/>
      <c r="M241" s="282"/>
    </row>
    <row r="242" spans="1:13" ht="15">
      <c r="A242" s="42">
        <v>40</v>
      </c>
      <c r="B242" s="76" t="s">
        <v>198</v>
      </c>
      <c r="C242" s="43" t="s">
        <v>325</v>
      </c>
      <c r="D242" s="117">
        <f>0.03+0.005+0.008</f>
        <v>0.043</v>
      </c>
      <c r="E242" s="17">
        <f>D242+'Табл.1 Текущий дефицит'!D242</f>
        <v>0.923</v>
      </c>
      <c r="F242" s="13">
        <v>0.1</v>
      </c>
      <c r="G242" s="14">
        <v>120</v>
      </c>
      <c r="H242" s="13">
        <f t="shared" si="15"/>
        <v>0.8230000000000001</v>
      </c>
      <c r="I242" s="14">
        <v>0</v>
      </c>
      <c r="J242" s="13">
        <f>1.05*2.5</f>
        <v>2.625</v>
      </c>
      <c r="K242" s="13">
        <f t="shared" si="16"/>
        <v>1.802</v>
      </c>
      <c r="L242" s="13">
        <f>K242</f>
        <v>1.802</v>
      </c>
      <c r="M242" s="23" t="s">
        <v>362</v>
      </c>
    </row>
    <row r="243" spans="1:13" ht="15">
      <c r="A243" s="300">
        <v>41</v>
      </c>
      <c r="B243" s="76" t="s">
        <v>199</v>
      </c>
      <c r="C243" s="43" t="s">
        <v>323</v>
      </c>
      <c r="D243" s="117">
        <f>D244+D245</f>
        <v>0.5508</v>
      </c>
      <c r="E243" s="17">
        <f>D243+'Табл.1 Текущий дефицит'!D243</f>
        <v>6.3808</v>
      </c>
      <c r="F243" s="13">
        <v>6.9</v>
      </c>
      <c r="G243" s="14">
        <v>120</v>
      </c>
      <c r="H243" s="13">
        <f t="shared" si="15"/>
        <v>-0.5192000000000005</v>
      </c>
      <c r="I243" s="14">
        <v>0</v>
      </c>
      <c r="J243" s="13">
        <f>1.05*16</f>
        <v>16.8</v>
      </c>
      <c r="K243" s="13">
        <f t="shared" si="16"/>
        <v>17.319200000000002</v>
      </c>
      <c r="L243" s="281">
        <f>MIN(K243:K245)</f>
        <v>16.848200000000002</v>
      </c>
      <c r="M243" s="282" t="s">
        <v>362</v>
      </c>
    </row>
    <row r="244" spans="1:13" ht="28.5">
      <c r="A244" s="300"/>
      <c r="B244" s="76" t="s">
        <v>348</v>
      </c>
      <c r="C244" s="43">
        <v>16</v>
      </c>
      <c r="D244" s="117">
        <f>D64+D125+D331+D346</f>
        <v>0.4518</v>
      </c>
      <c r="E244" s="17">
        <f>D244+'Табл.1 Текущий дефицит'!D244</f>
        <v>3.4518</v>
      </c>
      <c r="F244" s="13">
        <v>3.5</v>
      </c>
      <c r="G244" s="14"/>
      <c r="H244" s="13">
        <f t="shared" si="15"/>
        <v>-0.04820000000000002</v>
      </c>
      <c r="I244" s="14">
        <v>0</v>
      </c>
      <c r="J244" s="13">
        <f>1.05*16</f>
        <v>16.8</v>
      </c>
      <c r="K244" s="13">
        <f t="shared" si="16"/>
        <v>16.848200000000002</v>
      </c>
      <c r="L244" s="281"/>
      <c r="M244" s="282"/>
    </row>
    <row r="245" spans="1:13" ht="28.5">
      <c r="A245" s="300"/>
      <c r="B245" s="76" t="s">
        <v>349</v>
      </c>
      <c r="C245" s="43">
        <v>16</v>
      </c>
      <c r="D245" s="117">
        <v>0.099</v>
      </c>
      <c r="E245" s="17">
        <f>D245+'Табл.1 Текущий дефицит'!D245</f>
        <v>2.9290000000000003</v>
      </c>
      <c r="F245" s="13">
        <v>3.4</v>
      </c>
      <c r="G245" s="14">
        <v>120</v>
      </c>
      <c r="H245" s="13">
        <f t="shared" si="15"/>
        <v>-0.47099999999999964</v>
      </c>
      <c r="I245" s="14">
        <v>0</v>
      </c>
      <c r="J245" s="13">
        <f>1.05*16</f>
        <v>16.8</v>
      </c>
      <c r="K245" s="13">
        <f t="shared" si="16"/>
        <v>17.271</v>
      </c>
      <c r="L245" s="281"/>
      <c r="M245" s="282"/>
    </row>
    <row r="246" spans="1:13" ht="15">
      <c r="A246" s="300">
        <v>42</v>
      </c>
      <c r="B246" s="76" t="s">
        <v>200</v>
      </c>
      <c r="C246" s="43" t="s">
        <v>326</v>
      </c>
      <c r="D246" s="117">
        <f>D247+D248</f>
        <v>1.8</v>
      </c>
      <c r="E246" s="17">
        <f>D246+'Табл.1 Текущий дефицит'!D246</f>
        <v>30.990000000000002</v>
      </c>
      <c r="F246" s="13">
        <v>6.5</v>
      </c>
      <c r="G246" s="14">
        <v>0</v>
      </c>
      <c r="H246" s="13">
        <f t="shared" si="15"/>
        <v>24.490000000000002</v>
      </c>
      <c r="I246" s="14">
        <v>0</v>
      </c>
      <c r="J246" s="13">
        <f>1.05*25</f>
        <v>26.25</v>
      </c>
      <c r="K246" s="13">
        <f t="shared" si="16"/>
        <v>1.759999999999998</v>
      </c>
      <c r="L246" s="281">
        <f>MIN(K246:K248)</f>
        <v>1.759999999999998</v>
      </c>
      <c r="M246" s="303" t="s">
        <v>362</v>
      </c>
    </row>
    <row r="247" spans="1:13" ht="28.5">
      <c r="A247" s="300"/>
      <c r="B247" s="76" t="s">
        <v>348</v>
      </c>
      <c r="C247" s="43">
        <v>25</v>
      </c>
      <c r="D247" s="117"/>
      <c r="E247" s="17">
        <f>D247+'Табл.1 Текущий дефицит'!D247</f>
        <v>0</v>
      </c>
      <c r="F247" s="13"/>
      <c r="G247" s="14"/>
      <c r="H247" s="13">
        <f t="shared" si="15"/>
        <v>0</v>
      </c>
      <c r="I247" s="14">
        <v>0</v>
      </c>
      <c r="J247" s="13">
        <f>1.05*25</f>
        <v>26.25</v>
      </c>
      <c r="K247" s="13">
        <f t="shared" si="16"/>
        <v>26.25</v>
      </c>
      <c r="L247" s="281"/>
      <c r="M247" s="303"/>
    </row>
    <row r="248" spans="1:13" ht="28.5">
      <c r="A248" s="300"/>
      <c r="B248" s="76" t="s">
        <v>349</v>
      </c>
      <c r="C248" s="43">
        <v>25</v>
      </c>
      <c r="D248" s="117">
        <v>1.8</v>
      </c>
      <c r="E248" s="17">
        <f>D248+'Табл.1 Текущий дефицит'!D248</f>
        <v>30.990000000000002</v>
      </c>
      <c r="F248" s="13">
        <v>6.5</v>
      </c>
      <c r="G248" s="14">
        <v>0</v>
      </c>
      <c r="H248" s="13">
        <f t="shared" si="15"/>
        <v>24.490000000000002</v>
      </c>
      <c r="I248" s="14">
        <v>0</v>
      </c>
      <c r="J248" s="13">
        <f>1.05*25</f>
        <v>26.25</v>
      </c>
      <c r="K248" s="13">
        <f t="shared" si="16"/>
        <v>1.759999999999998</v>
      </c>
      <c r="L248" s="281"/>
      <c r="M248" s="303"/>
    </row>
    <row r="249" spans="1:13" ht="15">
      <c r="A249" s="42">
        <v>43</v>
      </c>
      <c r="B249" s="76" t="s">
        <v>201</v>
      </c>
      <c r="C249" s="43" t="s">
        <v>327</v>
      </c>
      <c r="D249" s="117"/>
      <c r="E249" s="17">
        <f>D249+'Табл.1 Текущий дефицит'!D249</f>
        <v>47.78</v>
      </c>
      <c r="F249" s="13">
        <v>0</v>
      </c>
      <c r="G249" s="14">
        <v>0</v>
      </c>
      <c r="H249" s="13">
        <f t="shared" si="15"/>
        <v>47.78</v>
      </c>
      <c r="I249" s="14">
        <v>0</v>
      </c>
      <c r="J249" s="13">
        <f>1.05*63</f>
        <v>66.15</v>
      </c>
      <c r="K249" s="13">
        <f t="shared" si="16"/>
        <v>18.370000000000005</v>
      </c>
      <c r="L249" s="13">
        <f>K249</f>
        <v>18.370000000000005</v>
      </c>
      <c r="M249" s="23" t="s">
        <v>362</v>
      </c>
    </row>
    <row r="250" spans="1:13" ht="15">
      <c r="A250" s="42">
        <v>44</v>
      </c>
      <c r="B250" s="76" t="s">
        <v>202</v>
      </c>
      <c r="C250" s="43" t="s">
        <v>328</v>
      </c>
      <c r="D250" s="117">
        <v>0.342</v>
      </c>
      <c r="E250" s="17">
        <f>D250+'Табл.1 Текущий дефицит'!D250</f>
        <v>6.922</v>
      </c>
      <c r="F250" s="17">
        <v>0.32</v>
      </c>
      <c r="G250" s="14">
        <v>0</v>
      </c>
      <c r="H250" s="13">
        <f t="shared" si="15"/>
        <v>6.601999999999999</v>
      </c>
      <c r="I250" s="14">
        <v>0</v>
      </c>
      <c r="J250" s="13">
        <f>1.05*6.3</f>
        <v>6.615</v>
      </c>
      <c r="K250" s="13">
        <f t="shared" si="16"/>
        <v>0.013000000000000789</v>
      </c>
      <c r="L250" s="17">
        <f>K250</f>
        <v>0.013000000000000789</v>
      </c>
      <c r="M250" s="23" t="s">
        <v>362</v>
      </c>
    </row>
    <row r="251" spans="1:13" ht="28.5">
      <c r="A251" s="300">
        <v>45</v>
      </c>
      <c r="B251" s="76" t="s">
        <v>203</v>
      </c>
      <c r="C251" s="43" t="s">
        <v>329</v>
      </c>
      <c r="D251" s="117">
        <f>D252+D253</f>
        <v>0.009</v>
      </c>
      <c r="E251" s="17">
        <f>D251+'Табл.1 Текущий дефицит'!D251</f>
        <v>3.209</v>
      </c>
      <c r="F251" s="13">
        <v>15.7</v>
      </c>
      <c r="G251" s="14">
        <v>120</v>
      </c>
      <c r="H251" s="13">
        <f t="shared" si="15"/>
        <v>-12.491</v>
      </c>
      <c r="I251" s="14">
        <v>0</v>
      </c>
      <c r="J251" s="13">
        <f>1.05*10</f>
        <v>10.5</v>
      </c>
      <c r="K251" s="13">
        <f t="shared" si="16"/>
        <v>22.991</v>
      </c>
      <c r="L251" s="281">
        <f>MIN(K251:K253)</f>
        <v>15.491</v>
      </c>
      <c r="M251" s="282" t="s">
        <v>362</v>
      </c>
    </row>
    <row r="252" spans="1:13" ht="28.5">
      <c r="A252" s="300"/>
      <c r="B252" s="76" t="s">
        <v>348</v>
      </c>
      <c r="C252" s="43">
        <v>10</v>
      </c>
      <c r="D252" s="117">
        <v>0</v>
      </c>
      <c r="E252" s="17">
        <f>D252+'Табл.1 Текущий дефицит'!D252</f>
        <v>1.8</v>
      </c>
      <c r="F252" s="13">
        <v>9.3</v>
      </c>
      <c r="G252" s="14"/>
      <c r="H252" s="13">
        <f t="shared" si="15"/>
        <v>-7.500000000000001</v>
      </c>
      <c r="I252" s="14">
        <v>0</v>
      </c>
      <c r="J252" s="13">
        <f>1.05*10</f>
        <v>10.5</v>
      </c>
      <c r="K252" s="13">
        <f t="shared" si="16"/>
        <v>18</v>
      </c>
      <c r="L252" s="281"/>
      <c r="M252" s="282"/>
    </row>
    <row r="253" spans="1:13" ht="28.5">
      <c r="A253" s="300"/>
      <c r="B253" s="76" t="s">
        <v>349</v>
      </c>
      <c r="C253" s="43">
        <v>10</v>
      </c>
      <c r="D253" s="117">
        <v>0.009</v>
      </c>
      <c r="E253" s="17">
        <f>D253+'Табл.1 Текущий дефицит'!D253</f>
        <v>1.4089999999999998</v>
      </c>
      <c r="F253" s="13">
        <v>6.4</v>
      </c>
      <c r="G253" s="14"/>
      <c r="H253" s="13">
        <f t="shared" si="15"/>
        <v>-4.9910000000000005</v>
      </c>
      <c r="I253" s="14">
        <v>0</v>
      </c>
      <c r="J253" s="13">
        <f>1.05*10</f>
        <v>10.5</v>
      </c>
      <c r="K253" s="13">
        <f t="shared" si="16"/>
        <v>15.491</v>
      </c>
      <c r="L253" s="281"/>
      <c r="M253" s="282"/>
    </row>
    <row r="254" spans="1:13" ht="28.5">
      <c r="A254" s="300">
        <v>46</v>
      </c>
      <c r="B254" s="76" t="s">
        <v>27</v>
      </c>
      <c r="C254" s="43" t="s">
        <v>324</v>
      </c>
      <c r="D254" s="117">
        <f>D255+D256</f>
        <v>0.028</v>
      </c>
      <c r="E254" s="17">
        <f>D254+'Табл.1 Текущий дефицит'!D254</f>
        <v>0.5780000000000001</v>
      </c>
      <c r="F254" s="13">
        <v>5.890000000000001</v>
      </c>
      <c r="G254" s="14" t="s">
        <v>4</v>
      </c>
      <c r="H254" s="13">
        <f t="shared" si="15"/>
        <v>-5.312</v>
      </c>
      <c r="I254" s="14">
        <v>0</v>
      </c>
      <c r="J254" s="13">
        <f aca="true" t="shared" si="19" ref="J254:J259">1.05*6.3</f>
        <v>6.615</v>
      </c>
      <c r="K254" s="13">
        <f t="shared" si="16"/>
        <v>11.927</v>
      </c>
      <c r="L254" s="281">
        <f>MIN(K254:K256)</f>
        <v>8.655000000000001</v>
      </c>
      <c r="M254" s="282" t="s">
        <v>362</v>
      </c>
    </row>
    <row r="255" spans="1:13" ht="28.5">
      <c r="A255" s="300"/>
      <c r="B255" s="76" t="s">
        <v>348</v>
      </c>
      <c r="C255" s="43">
        <v>6.3</v>
      </c>
      <c r="D255" s="117">
        <f>D298</f>
        <v>0.028</v>
      </c>
      <c r="E255" s="17">
        <f>D255+'Табл.1 Текущий дефицит'!D255</f>
        <v>0.468</v>
      </c>
      <c r="F255" s="13">
        <v>3.74</v>
      </c>
      <c r="G255" s="14" t="s">
        <v>4</v>
      </c>
      <c r="H255" s="13">
        <f t="shared" si="15"/>
        <v>-3.2720000000000002</v>
      </c>
      <c r="I255" s="14">
        <v>0</v>
      </c>
      <c r="J255" s="13">
        <f t="shared" si="19"/>
        <v>6.615</v>
      </c>
      <c r="K255" s="13">
        <f t="shared" si="16"/>
        <v>9.887</v>
      </c>
      <c r="L255" s="281"/>
      <c r="M255" s="282"/>
    </row>
    <row r="256" spans="1:13" ht="28.5">
      <c r="A256" s="300"/>
      <c r="B256" s="76" t="s">
        <v>349</v>
      </c>
      <c r="C256" s="43">
        <v>6.3</v>
      </c>
      <c r="D256" s="117"/>
      <c r="E256" s="17">
        <f>D256+'Табл.1 Текущий дефицит'!D256</f>
        <v>0.11</v>
      </c>
      <c r="F256" s="13">
        <v>2.15</v>
      </c>
      <c r="G256" s="14" t="s">
        <v>4</v>
      </c>
      <c r="H256" s="13">
        <f t="shared" si="15"/>
        <v>-2.04</v>
      </c>
      <c r="I256" s="14">
        <v>0</v>
      </c>
      <c r="J256" s="13">
        <f t="shared" si="19"/>
        <v>6.615</v>
      </c>
      <c r="K256" s="13">
        <f t="shared" si="16"/>
        <v>8.655000000000001</v>
      </c>
      <c r="L256" s="281"/>
      <c r="M256" s="282"/>
    </row>
    <row r="257" spans="1:13" ht="28.5">
      <c r="A257" s="300">
        <v>47</v>
      </c>
      <c r="B257" s="76" t="s">
        <v>204</v>
      </c>
      <c r="C257" s="43" t="s">
        <v>328</v>
      </c>
      <c r="D257" s="117">
        <f>D258+D259</f>
        <v>1.6380000000000001</v>
      </c>
      <c r="E257" s="17">
        <f>D257+'Табл.1 Текущий дефицит'!D257</f>
        <v>4.438</v>
      </c>
      <c r="F257" s="13">
        <v>21.400000000000002</v>
      </c>
      <c r="G257" s="14">
        <v>45</v>
      </c>
      <c r="H257" s="13">
        <f t="shared" si="15"/>
        <v>-16.962000000000003</v>
      </c>
      <c r="I257" s="14">
        <v>0</v>
      </c>
      <c r="J257" s="13">
        <f t="shared" si="19"/>
        <v>6.615</v>
      </c>
      <c r="K257" s="13">
        <f t="shared" si="16"/>
        <v>23.577000000000005</v>
      </c>
      <c r="L257" s="281">
        <f>MIN(K257:K259)</f>
        <v>9.077</v>
      </c>
      <c r="M257" s="282" t="s">
        <v>362</v>
      </c>
    </row>
    <row r="258" spans="1:13" ht="28.5">
      <c r="A258" s="300"/>
      <c r="B258" s="76" t="s">
        <v>348</v>
      </c>
      <c r="C258" s="43" t="s">
        <v>328</v>
      </c>
      <c r="D258" s="117">
        <f>D120+D144+D344+D365</f>
        <v>1.52</v>
      </c>
      <c r="E258" s="17">
        <f>D258+'Табл.1 Текущий дефицит'!D258</f>
        <v>3.3</v>
      </c>
      <c r="F258" s="13">
        <v>17.8</v>
      </c>
      <c r="G258" s="14"/>
      <c r="H258" s="13">
        <f t="shared" si="15"/>
        <v>-14.5</v>
      </c>
      <c r="I258" s="14">
        <v>0</v>
      </c>
      <c r="J258" s="13">
        <f t="shared" si="19"/>
        <v>6.615</v>
      </c>
      <c r="K258" s="13">
        <f t="shared" si="16"/>
        <v>21.115000000000002</v>
      </c>
      <c r="L258" s="281"/>
      <c r="M258" s="282"/>
    </row>
    <row r="259" spans="1:13" ht="28.5">
      <c r="A259" s="300"/>
      <c r="B259" s="76" t="s">
        <v>349</v>
      </c>
      <c r="C259" s="43" t="s">
        <v>328</v>
      </c>
      <c r="D259" s="117">
        <f>0.098+0.005+0.015</f>
        <v>0.11800000000000001</v>
      </c>
      <c r="E259" s="17">
        <f>D259+'Табл.1 Текущий дефицит'!D259</f>
        <v>1.1380000000000001</v>
      </c>
      <c r="F259" s="13">
        <v>3.6</v>
      </c>
      <c r="G259" s="14">
        <v>45</v>
      </c>
      <c r="H259" s="13">
        <f t="shared" si="15"/>
        <v>-2.4619999999999997</v>
      </c>
      <c r="I259" s="14">
        <v>0</v>
      </c>
      <c r="J259" s="13">
        <f t="shared" si="19"/>
        <v>6.615</v>
      </c>
      <c r="K259" s="13">
        <f t="shared" si="16"/>
        <v>9.077</v>
      </c>
      <c r="L259" s="281"/>
      <c r="M259" s="282"/>
    </row>
    <row r="260" spans="1:13" ht="15">
      <c r="A260" s="300">
        <v>48</v>
      </c>
      <c r="B260" s="76" t="s">
        <v>205</v>
      </c>
      <c r="C260" s="43" t="s">
        <v>330</v>
      </c>
      <c r="D260" s="117">
        <f>D261+D262</f>
        <v>1.3593000000000002</v>
      </c>
      <c r="E260" s="17">
        <f>D260+'Табл.1 Текущий дефицит'!D260</f>
        <v>20.709300000000002</v>
      </c>
      <c r="F260" s="13">
        <v>3.25</v>
      </c>
      <c r="G260" s="14">
        <v>10</v>
      </c>
      <c r="H260" s="13">
        <f t="shared" si="15"/>
        <v>17.459300000000002</v>
      </c>
      <c r="I260" s="14">
        <v>0</v>
      </c>
      <c r="J260" s="13">
        <f>1.05*31.5</f>
        <v>33.075</v>
      </c>
      <c r="K260" s="13">
        <f t="shared" si="16"/>
        <v>15.6157</v>
      </c>
      <c r="L260" s="281">
        <f>MIN(K260:K262)</f>
        <v>15.6157</v>
      </c>
      <c r="M260" s="282" t="s">
        <v>362</v>
      </c>
    </row>
    <row r="261" spans="1:13" ht="28.5">
      <c r="A261" s="300"/>
      <c r="B261" s="76" t="s">
        <v>348</v>
      </c>
      <c r="C261" s="43">
        <v>31.5</v>
      </c>
      <c r="D261" s="117">
        <f>D370+D349</f>
        <v>1.2293</v>
      </c>
      <c r="E261" s="17">
        <f>D261+'Табл.1 Текущий дефицит'!D261</f>
        <v>14.2293</v>
      </c>
      <c r="F261" s="13">
        <v>1.7</v>
      </c>
      <c r="G261" s="14"/>
      <c r="H261" s="13">
        <f t="shared" si="15"/>
        <v>12.529300000000001</v>
      </c>
      <c r="I261" s="14">
        <v>0</v>
      </c>
      <c r="J261" s="13">
        <f>1.05*31.5</f>
        <v>33.075</v>
      </c>
      <c r="K261" s="13">
        <f t="shared" si="16"/>
        <v>20.545700000000004</v>
      </c>
      <c r="L261" s="281"/>
      <c r="M261" s="282"/>
    </row>
    <row r="262" spans="1:13" ht="28.5">
      <c r="A262" s="300"/>
      <c r="B262" s="76" t="s">
        <v>349</v>
      </c>
      <c r="C262" s="43">
        <v>31.5</v>
      </c>
      <c r="D262" s="117">
        <v>0.13</v>
      </c>
      <c r="E262" s="17">
        <f>D262+'Табл.1 Текущий дефицит'!D262</f>
        <v>6.4799999999999995</v>
      </c>
      <c r="F262" s="13">
        <v>1.55</v>
      </c>
      <c r="G262" s="14">
        <v>120</v>
      </c>
      <c r="H262" s="13">
        <f t="shared" si="15"/>
        <v>4.93</v>
      </c>
      <c r="I262" s="14">
        <v>0</v>
      </c>
      <c r="J262" s="13">
        <f>1.05*31.5</f>
        <v>33.075</v>
      </c>
      <c r="K262" s="13">
        <f t="shared" si="16"/>
        <v>28.145000000000003</v>
      </c>
      <c r="L262" s="281"/>
      <c r="M262" s="282"/>
    </row>
    <row r="263" spans="1:13" ht="15">
      <c r="A263" s="300">
        <v>49</v>
      </c>
      <c r="B263" s="76" t="s">
        <v>206</v>
      </c>
      <c r="C263" s="43" t="s">
        <v>322</v>
      </c>
      <c r="D263" s="117">
        <f>D264+D265</f>
        <v>2.942</v>
      </c>
      <c r="E263" s="17">
        <f>D263+'Табл.1 Текущий дефицит'!D263</f>
        <v>18.222</v>
      </c>
      <c r="F263" s="13">
        <v>11</v>
      </c>
      <c r="G263" s="14">
        <v>120</v>
      </c>
      <c r="H263" s="13">
        <f t="shared" si="15"/>
        <v>7.222000000000001</v>
      </c>
      <c r="I263" s="14">
        <v>0</v>
      </c>
      <c r="J263" s="13">
        <f>1.05*16</f>
        <v>16.8</v>
      </c>
      <c r="K263" s="13">
        <f t="shared" si="16"/>
        <v>9.578</v>
      </c>
      <c r="L263" s="281">
        <f>MIN(K263:K265)</f>
        <v>9.578</v>
      </c>
      <c r="M263" s="282" t="s">
        <v>362</v>
      </c>
    </row>
    <row r="264" spans="1:13" ht="28.5">
      <c r="A264" s="300"/>
      <c r="B264" s="76" t="s">
        <v>348</v>
      </c>
      <c r="C264" s="43" t="s">
        <v>322</v>
      </c>
      <c r="D264" s="117">
        <f>D34+D37+D45+D57+D89+D93+D134+D146+D337+D339+D368</f>
        <v>2.849</v>
      </c>
      <c r="E264" s="17">
        <f>D264+'Табл.1 Текущий дефицит'!D264</f>
        <v>11.259</v>
      </c>
      <c r="F264" s="13">
        <v>7</v>
      </c>
      <c r="G264" s="14"/>
      <c r="H264" s="13">
        <f t="shared" si="15"/>
        <v>4.259</v>
      </c>
      <c r="I264" s="14">
        <v>0</v>
      </c>
      <c r="J264" s="13">
        <f>1.05*16</f>
        <v>16.8</v>
      </c>
      <c r="K264" s="13">
        <f t="shared" si="16"/>
        <v>12.541</v>
      </c>
      <c r="L264" s="281"/>
      <c r="M264" s="282"/>
    </row>
    <row r="265" spans="1:13" ht="28.5">
      <c r="A265" s="300"/>
      <c r="B265" s="76" t="s">
        <v>349</v>
      </c>
      <c r="C265" s="43" t="s">
        <v>322</v>
      </c>
      <c r="D265" s="117">
        <v>0.093</v>
      </c>
      <c r="E265" s="17">
        <f>D265+'Табл.1 Текущий дефицит'!D265</f>
        <v>6.963</v>
      </c>
      <c r="F265" s="13">
        <v>4</v>
      </c>
      <c r="G265" s="14">
        <v>120</v>
      </c>
      <c r="H265" s="13">
        <f t="shared" si="15"/>
        <v>2.963</v>
      </c>
      <c r="I265" s="14">
        <v>0</v>
      </c>
      <c r="J265" s="13">
        <f>1.05*16</f>
        <v>16.8</v>
      </c>
      <c r="K265" s="13">
        <f t="shared" si="16"/>
        <v>13.837</v>
      </c>
      <c r="L265" s="281"/>
      <c r="M265" s="282"/>
    </row>
    <row r="266" spans="1:13" ht="28.5">
      <c r="A266" s="42">
        <v>50</v>
      </c>
      <c r="B266" s="76" t="s">
        <v>207</v>
      </c>
      <c r="C266" s="43" t="s">
        <v>326</v>
      </c>
      <c r="D266" s="117"/>
      <c r="E266" s="17">
        <f>D266+'Табл.1 Текущий дефицит'!D266</f>
        <v>6.38</v>
      </c>
      <c r="F266" s="13">
        <v>0</v>
      </c>
      <c r="G266" s="14">
        <v>0</v>
      </c>
      <c r="H266" s="13">
        <f t="shared" si="15"/>
        <v>6.38</v>
      </c>
      <c r="I266" s="14">
        <v>0</v>
      </c>
      <c r="J266" s="13">
        <f>1.05*25</f>
        <v>26.25</v>
      </c>
      <c r="K266" s="13">
        <f t="shared" si="16"/>
        <v>19.87</v>
      </c>
      <c r="L266" s="13">
        <f>K266</f>
        <v>19.87</v>
      </c>
      <c r="M266" s="23" t="s">
        <v>362</v>
      </c>
    </row>
    <row r="267" spans="1:13" ht="15">
      <c r="A267" s="42">
        <v>51</v>
      </c>
      <c r="B267" s="76" t="s">
        <v>208</v>
      </c>
      <c r="C267" s="43" t="s">
        <v>329</v>
      </c>
      <c r="D267" s="117">
        <v>0.036000000000000004</v>
      </c>
      <c r="E267" s="17">
        <f>D267+'Табл.1 Текущий дефицит'!D267</f>
        <v>1.256</v>
      </c>
      <c r="F267" s="13">
        <v>0</v>
      </c>
      <c r="G267" s="14">
        <v>0</v>
      </c>
      <c r="H267" s="13">
        <f t="shared" si="15"/>
        <v>1.256</v>
      </c>
      <c r="I267" s="14">
        <v>0</v>
      </c>
      <c r="J267" s="13">
        <f>1.05*10</f>
        <v>10.5</v>
      </c>
      <c r="K267" s="13">
        <f t="shared" si="16"/>
        <v>9.244</v>
      </c>
      <c r="L267" s="13">
        <f>K267</f>
        <v>9.244</v>
      </c>
      <c r="M267" s="23" t="s">
        <v>362</v>
      </c>
    </row>
    <row r="268" spans="1:13" ht="15">
      <c r="A268" s="42">
        <v>52</v>
      </c>
      <c r="B268" s="76" t="s">
        <v>209</v>
      </c>
      <c r="C268" s="43" t="s">
        <v>324</v>
      </c>
      <c r="D268" s="117">
        <v>0.21200000000000008</v>
      </c>
      <c r="E268" s="17">
        <f>D268+'Табл.1 Текущий дефицит'!D268</f>
        <v>2.2920000000000003</v>
      </c>
      <c r="F268" s="13">
        <v>0.7</v>
      </c>
      <c r="G268" s="14">
        <v>120</v>
      </c>
      <c r="H268" s="13">
        <f t="shared" si="15"/>
        <v>1.5920000000000003</v>
      </c>
      <c r="I268" s="14">
        <v>0</v>
      </c>
      <c r="J268" s="13">
        <f>1.05*6.3</f>
        <v>6.615</v>
      </c>
      <c r="K268" s="13">
        <f t="shared" si="16"/>
        <v>5.023</v>
      </c>
      <c r="L268" s="13">
        <f>K268</f>
        <v>5.023</v>
      </c>
      <c r="M268" s="23" t="s">
        <v>362</v>
      </c>
    </row>
    <row r="269" spans="1:13" ht="15">
      <c r="A269" s="300">
        <v>53</v>
      </c>
      <c r="B269" s="76" t="s">
        <v>210</v>
      </c>
      <c r="C269" s="43" t="s">
        <v>326</v>
      </c>
      <c r="D269" s="117">
        <f>D270+D271</f>
        <v>2.0518</v>
      </c>
      <c r="E269" s="17">
        <f>D269+'Табл.1 Текущий дефицит'!D269</f>
        <v>17.6518</v>
      </c>
      <c r="F269" s="13">
        <v>29</v>
      </c>
      <c r="G269" s="14">
        <v>120</v>
      </c>
      <c r="H269" s="13">
        <f t="shared" si="15"/>
        <v>-11.348199999999999</v>
      </c>
      <c r="I269" s="14">
        <v>0</v>
      </c>
      <c r="J269" s="13">
        <f aca="true" t="shared" si="20" ref="J269:J274">1.05*25</f>
        <v>26.25</v>
      </c>
      <c r="K269" s="13">
        <f t="shared" si="16"/>
        <v>37.5982</v>
      </c>
      <c r="L269" s="281">
        <f>MIN(K269:K271)</f>
        <v>26.816000000000003</v>
      </c>
      <c r="M269" s="282" t="s">
        <v>362</v>
      </c>
    </row>
    <row r="270" spans="1:13" ht="28.5">
      <c r="A270" s="300"/>
      <c r="B270" s="76" t="s">
        <v>348</v>
      </c>
      <c r="C270" s="43">
        <v>25</v>
      </c>
      <c r="D270" s="117">
        <f>D33+D43+D38+D70+D122+D310+D324+D363</f>
        <v>0.9178000000000001</v>
      </c>
      <c r="E270" s="17">
        <f>D270+'Табл.1 Текущий дефицит'!D270</f>
        <v>6.3178</v>
      </c>
      <c r="F270" s="13">
        <v>17.1</v>
      </c>
      <c r="G270" s="14"/>
      <c r="H270" s="13">
        <f t="shared" si="15"/>
        <v>-10.782200000000001</v>
      </c>
      <c r="I270" s="14">
        <v>0</v>
      </c>
      <c r="J270" s="13">
        <f t="shared" si="20"/>
        <v>26.25</v>
      </c>
      <c r="K270" s="13">
        <f t="shared" si="16"/>
        <v>37.0322</v>
      </c>
      <c r="L270" s="281"/>
      <c r="M270" s="282"/>
    </row>
    <row r="271" spans="1:13" ht="28.5">
      <c r="A271" s="300"/>
      <c r="B271" s="76" t="s">
        <v>349</v>
      </c>
      <c r="C271" s="43">
        <v>25</v>
      </c>
      <c r="D271" s="117">
        <v>1.1340000000000001</v>
      </c>
      <c r="E271" s="17">
        <f>D271+'Табл.1 Текущий дефицит'!D271</f>
        <v>11.334</v>
      </c>
      <c r="F271" s="13">
        <v>11.9</v>
      </c>
      <c r="G271" s="14"/>
      <c r="H271" s="13">
        <f t="shared" si="15"/>
        <v>-0.5660000000000007</v>
      </c>
      <c r="I271" s="14">
        <v>0</v>
      </c>
      <c r="J271" s="13">
        <f t="shared" si="20"/>
        <v>26.25</v>
      </c>
      <c r="K271" s="13">
        <f t="shared" si="16"/>
        <v>26.816000000000003</v>
      </c>
      <c r="L271" s="281"/>
      <c r="M271" s="282"/>
    </row>
    <row r="272" spans="1:13" ht="28.5">
      <c r="A272" s="300">
        <v>54</v>
      </c>
      <c r="B272" s="76" t="s">
        <v>211</v>
      </c>
      <c r="C272" s="43" t="s">
        <v>326</v>
      </c>
      <c r="D272" s="117">
        <f>D273+D274</f>
        <v>10.2625</v>
      </c>
      <c r="E272" s="17">
        <f>D272+'Табл.1 Текущий дефицит'!D272</f>
        <v>23.862499999999997</v>
      </c>
      <c r="F272" s="13">
        <v>0</v>
      </c>
      <c r="G272" s="14">
        <v>0</v>
      </c>
      <c r="H272" s="13">
        <f t="shared" si="15"/>
        <v>23.862499999999997</v>
      </c>
      <c r="I272" s="14">
        <v>0</v>
      </c>
      <c r="J272" s="13">
        <f t="shared" si="20"/>
        <v>26.25</v>
      </c>
      <c r="K272" s="13">
        <f t="shared" si="16"/>
        <v>2.387500000000003</v>
      </c>
      <c r="L272" s="281">
        <f>MIN(K272:K274)</f>
        <v>2.387500000000003</v>
      </c>
      <c r="M272" s="282" t="s">
        <v>362</v>
      </c>
    </row>
    <row r="273" spans="1:13" ht="28.5">
      <c r="A273" s="300"/>
      <c r="B273" s="76" t="s">
        <v>348</v>
      </c>
      <c r="C273" s="43">
        <v>25</v>
      </c>
      <c r="D273" s="117">
        <f>D98+D108+D353</f>
        <v>4.0625</v>
      </c>
      <c r="E273" s="17">
        <f>D273+'Табл.1 Текущий дефицит'!D273</f>
        <v>7.7325</v>
      </c>
      <c r="F273" s="13"/>
      <c r="G273" s="14"/>
      <c r="H273" s="13">
        <f t="shared" si="15"/>
        <v>7.7325</v>
      </c>
      <c r="I273" s="14">
        <v>0</v>
      </c>
      <c r="J273" s="13">
        <f t="shared" si="20"/>
        <v>26.25</v>
      </c>
      <c r="K273" s="13">
        <f t="shared" si="16"/>
        <v>18.5175</v>
      </c>
      <c r="L273" s="281"/>
      <c r="M273" s="282"/>
    </row>
    <row r="274" spans="1:13" ht="28.5">
      <c r="A274" s="300"/>
      <c r="B274" s="76" t="s">
        <v>349</v>
      </c>
      <c r="C274" s="43">
        <v>25</v>
      </c>
      <c r="D274" s="117">
        <v>6.2</v>
      </c>
      <c r="E274" s="17">
        <f>D274+'Табл.1 Текущий дефицит'!D274</f>
        <v>16.13</v>
      </c>
      <c r="F274" s="13">
        <v>0</v>
      </c>
      <c r="G274" s="14">
        <v>0</v>
      </c>
      <c r="H274" s="13">
        <f t="shared" si="15"/>
        <v>16.13</v>
      </c>
      <c r="I274" s="14">
        <v>0</v>
      </c>
      <c r="J274" s="13">
        <f t="shared" si="20"/>
        <v>26.25</v>
      </c>
      <c r="K274" s="13">
        <f t="shared" si="16"/>
        <v>10.120000000000001</v>
      </c>
      <c r="L274" s="281"/>
      <c r="M274" s="282"/>
    </row>
    <row r="275" spans="1:13" ht="28.5">
      <c r="A275" s="300">
        <v>55</v>
      </c>
      <c r="B275" s="76" t="s">
        <v>212</v>
      </c>
      <c r="C275" s="43" t="s">
        <v>329</v>
      </c>
      <c r="D275" s="117">
        <f>D276+D277</f>
        <v>0.096</v>
      </c>
      <c r="E275" s="17">
        <f>D275+'Табл.1 Текущий дефицит'!D275</f>
        <v>3.966</v>
      </c>
      <c r="F275" s="13">
        <v>3.44</v>
      </c>
      <c r="G275" s="14">
        <v>120</v>
      </c>
      <c r="H275" s="13">
        <f t="shared" si="15"/>
        <v>0.5260000000000002</v>
      </c>
      <c r="I275" s="14">
        <v>0</v>
      </c>
      <c r="J275" s="13">
        <f>1.05*10</f>
        <v>10.5</v>
      </c>
      <c r="K275" s="13">
        <f t="shared" si="16"/>
        <v>9.974</v>
      </c>
      <c r="L275" s="281">
        <f>MIN(K275:K277)</f>
        <v>8.498</v>
      </c>
      <c r="M275" s="282" t="s">
        <v>362</v>
      </c>
    </row>
    <row r="276" spans="1:13" ht="28.5">
      <c r="A276" s="300"/>
      <c r="B276" s="76" t="s">
        <v>348</v>
      </c>
      <c r="C276" s="43">
        <v>10</v>
      </c>
      <c r="D276" s="117">
        <f>D85</f>
        <v>0.024</v>
      </c>
      <c r="E276" s="17">
        <f>D276+'Табл.1 Текущий дефицит'!D276</f>
        <v>0.524</v>
      </c>
      <c r="F276" s="13">
        <v>2</v>
      </c>
      <c r="G276" s="14"/>
      <c r="H276" s="13">
        <f t="shared" si="15"/>
        <v>-1.476</v>
      </c>
      <c r="I276" s="14">
        <v>0</v>
      </c>
      <c r="J276" s="13">
        <f>1.05*10</f>
        <v>10.5</v>
      </c>
      <c r="K276" s="13">
        <f t="shared" si="16"/>
        <v>11.975999999999999</v>
      </c>
      <c r="L276" s="281"/>
      <c r="M276" s="282"/>
    </row>
    <row r="277" spans="1:13" ht="28.5">
      <c r="A277" s="300"/>
      <c r="B277" s="76" t="s">
        <v>349</v>
      </c>
      <c r="C277" s="43">
        <v>10</v>
      </c>
      <c r="D277" s="117">
        <v>0.07200000000000001</v>
      </c>
      <c r="E277" s="17">
        <f>D277+'Табл.1 Текущий дефицит'!D277</f>
        <v>3.442</v>
      </c>
      <c r="F277" s="13">
        <v>1.44</v>
      </c>
      <c r="G277" s="14"/>
      <c r="H277" s="13">
        <f t="shared" si="15"/>
        <v>2.0020000000000002</v>
      </c>
      <c r="I277" s="14">
        <v>0</v>
      </c>
      <c r="J277" s="13">
        <f>1.05*10</f>
        <v>10.5</v>
      </c>
      <c r="K277" s="13">
        <f t="shared" si="16"/>
        <v>8.498</v>
      </c>
      <c r="L277" s="281"/>
      <c r="M277" s="282"/>
    </row>
    <row r="278" spans="1:13" ht="15">
      <c r="A278" s="300">
        <v>56</v>
      </c>
      <c r="B278" s="76" t="s">
        <v>213</v>
      </c>
      <c r="C278" s="43" t="s">
        <v>331</v>
      </c>
      <c r="D278" s="117">
        <f>D279+D280</f>
        <v>0.6884</v>
      </c>
      <c r="E278" s="17">
        <f>D278+'Табл.1 Текущий дефицит'!D278</f>
        <v>5.408399999999999</v>
      </c>
      <c r="F278" s="13">
        <v>9.59</v>
      </c>
      <c r="G278" s="14">
        <v>120</v>
      </c>
      <c r="H278" s="13">
        <f t="shared" si="15"/>
        <v>-4.1816</v>
      </c>
      <c r="I278" s="14">
        <v>0</v>
      </c>
      <c r="J278" s="13">
        <f>1.05*6.3</f>
        <v>6.615</v>
      </c>
      <c r="K278" s="13">
        <f t="shared" si="16"/>
        <v>10.796600000000002</v>
      </c>
      <c r="L278" s="281">
        <f>MIN(K278:K280)</f>
        <v>6.397</v>
      </c>
      <c r="M278" s="282" t="s">
        <v>362</v>
      </c>
    </row>
    <row r="279" spans="1:13" ht="28.5">
      <c r="A279" s="300"/>
      <c r="B279" s="76" t="s">
        <v>348</v>
      </c>
      <c r="C279" s="43" t="s">
        <v>331</v>
      </c>
      <c r="D279" s="117">
        <f>D86+D128+D318+D321+D362+D372</f>
        <v>0.5604</v>
      </c>
      <c r="E279" s="17">
        <f>D279+'Табл.1 Текущий дефицит'!D279</f>
        <v>4.6904</v>
      </c>
      <c r="F279" s="13">
        <v>9.09</v>
      </c>
      <c r="G279" s="14"/>
      <c r="H279" s="13">
        <f t="shared" si="15"/>
        <v>-4.3995999999999995</v>
      </c>
      <c r="I279" s="14">
        <v>0</v>
      </c>
      <c r="J279" s="13">
        <f>1.05*6.3</f>
        <v>6.615</v>
      </c>
      <c r="K279" s="13">
        <f t="shared" si="16"/>
        <v>11.0146</v>
      </c>
      <c r="L279" s="281"/>
      <c r="M279" s="282"/>
    </row>
    <row r="280" spans="1:13" ht="28.5">
      <c r="A280" s="300"/>
      <c r="B280" s="76" t="s">
        <v>349</v>
      </c>
      <c r="C280" s="43" t="s">
        <v>331</v>
      </c>
      <c r="D280" s="117">
        <v>0.128</v>
      </c>
      <c r="E280" s="17">
        <f>D280+'Табл.1 Текущий дефицит'!D280</f>
        <v>0.718</v>
      </c>
      <c r="F280" s="13">
        <v>0.5</v>
      </c>
      <c r="G280" s="14">
        <v>120</v>
      </c>
      <c r="H280" s="13">
        <f t="shared" si="15"/>
        <v>0.21799999999999997</v>
      </c>
      <c r="I280" s="14">
        <v>0</v>
      </c>
      <c r="J280" s="13">
        <f>1.05*6.3</f>
        <v>6.615</v>
      </c>
      <c r="K280" s="13">
        <f t="shared" si="16"/>
        <v>6.397</v>
      </c>
      <c r="L280" s="281"/>
      <c r="M280" s="282"/>
    </row>
    <row r="281" spans="1:13" ht="15">
      <c r="A281" s="300">
        <v>57</v>
      </c>
      <c r="B281" s="76" t="s">
        <v>214</v>
      </c>
      <c r="C281" s="43" t="s">
        <v>332</v>
      </c>
      <c r="D281" s="117">
        <f>D282+D283</f>
        <v>0.21300000000000002</v>
      </c>
      <c r="E281" s="17">
        <f>D281+'Табл.1 Текущий дефицит'!D281</f>
        <v>0.843</v>
      </c>
      <c r="F281" s="13">
        <v>0.5</v>
      </c>
      <c r="G281" s="14">
        <v>120</v>
      </c>
      <c r="H281" s="13">
        <f t="shared" si="15"/>
        <v>0.34299999999999997</v>
      </c>
      <c r="I281" s="14">
        <v>0</v>
      </c>
      <c r="J281" s="13">
        <f>1.05*10</f>
        <v>10.5</v>
      </c>
      <c r="K281" s="13">
        <f t="shared" si="16"/>
        <v>10.157</v>
      </c>
      <c r="L281" s="281">
        <f>MIN(K281:K283)</f>
        <v>9.884</v>
      </c>
      <c r="M281" s="282" t="s">
        <v>362</v>
      </c>
    </row>
    <row r="282" spans="1:13" ht="28.5">
      <c r="A282" s="300"/>
      <c r="B282" s="76" t="s">
        <v>348</v>
      </c>
      <c r="C282" s="43" t="s">
        <v>332</v>
      </c>
      <c r="D282" s="117">
        <f>D137+D356+D364</f>
        <v>0.15600000000000003</v>
      </c>
      <c r="E282" s="17">
        <f>D282+'Табл.1 Текущий дефицит'!D282</f>
        <v>0.6160000000000001</v>
      </c>
      <c r="F282" s="13"/>
      <c r="G282" s="14"/>
      <c r="H282" s="13">
        <f t="shared" si="15"/>
        <v>0.6160000000000001</v>
      </c>
      <c r="I282" s="14">
        <v>0</v>
      </c>
      <c r="J282" s="13">
        <f>1.05*10</f>
        <v>10.5</v>
      </c>
      <c r="K282" s="13">
        <f t="shared" si="16"/>
        <v>9.884</v>
      </c>
      <c r="L282" s="281"/>
      <c r="M282" s="282"/>
    </row>
    <row r="283" spans="1:13" ht="28.5">
      <c r="A283" s="300"/>
      <c r="B283" s="76" t="s">
        <v>349</v>
      </c>
      <c r="C283" s="43" t="s">
        <v>332</v>
      </c>
      <c r="D283" s="117">
        <v>0.056999999999999995</v>
      </c>
      <c r="E283" s="17">
        <f>D283+'Табл.1 Текущий дефицит'!D283</f>
        <v>0.227</v>
      </c>
      <c r="F283" s="13">
        <v>0.5</v>
      </c>
      <c r="G283" s="14">
        <v>120</v>
      </c>
      <c r="H283" s="13">
        <f aca="true" t="shared" si="21" ref="H283:H345">E283-F283</f>
        <v>-0.273</v>
      </c>
      <c r="I283" s="14">
        <v>0</v>
      </c>
      <c r="J283" s="13">
        <f>1.05*10</f>
        <v>10.5</v>
      </c>
      <c r="K283" s="13">
        <f t="shared" si="16"/>
        <v>10.773</v>
      </c>
      <c r="L283" s="281"/>
      <c r="M283" s="282"/>
    </row>
    <row r="284" spans="1:13" ht="15">
      <c r="A284" s="300">
        <v>58</v>
      </c>
      <c r="B284" s="76" t="s">
        <v>215</v>
      </c>
      <c r="C284" s="43" t="s">
        <v>323</v>
      </c>
      <c r="D284" s="117">
        <f>D285+D286</f>
        <v>4.898455</v>
      </c>
      <c r="E284" s="17">
        <f>D284+'Табл.1 Текущий дефицит'!D284</f>
        <v>11.188455000000001</v>
      </c>
      <c r="F284" s="13">
        <v>17.4</v>
      </c>
      <c r="G284" s="14">
        <v>120</v>
      </c>
      <c r="H284" s="13">
        <f t="shared" si="21"/>
        <v>-6.211544999999997</v>
      </c>
      <c r="I284" s="14">
        <v>0</v>
      </c>
      <c r="J284" s="13">
        <f>1.05*16</f>
        <v>16.8</v>
      </c>
      <c r="K284" s="13">
        <f aca="true" t="shared" si="22" ref="K284:K346">J284-I284-H284</f>
        <v>23.011544999999998</v>
      </c>
      <c r="L284" s="281">
        <f>MIN(K284:K286)</f>
        <v>14.644545</v>
      </c>
      <c r="M284" s="282" t="s">
        <v>362</v>
      </c>
    </row>
    <row r="285" spans="1:13" ht="28.5">
      <c r="A285" s="300"/>
      <c r="B285" s="76" t="s">
        <v>348</v>
      </c>
      <c r="C285" s="43">
        <v>16</v>
      </c>
      <c r="D285" s="117">
        <f>D62+D73+D100+D127+D316+D329+D344</f>
        <v>2.583</v>
      </c>
      <c r="E285" s="17">
        <f>D285+'Табл.1 Текущий дефицит'!D285</f>
        <v>4.433</v>
      </c>
      <c r="F285" s="13">
        <v>12.8</v>
      </c>
      <c r="G285" s="14"/>
      <c r="H285" s="13">
        <f t="shared" si="21"/>
        <v>-8.367</v>
      </c>
      <c r="I285" s="14">
        <v>0</v>
      </c>
      <c r="J285" s="13">
        <f>1.05*16</f>
        <v>16.8</v>
      </c>
      <c r="K285" s="13">
        <f t="shared" si="22"/>
        <v>25.167</v>
      </c>
      <c r="L285" s="281"/>
      <c r="M285" s="282"/>
    </row>
    <row r="286" spans="1:13" ht="28.5">
      <c r="A286" s="300"/>
      <c r="B286" s="76" t="s">
        <v>349</v>
      </c>
      <c r="C286" s="43">
        <v>16</v>
      </c>
      <c r="D286" s="117">
        <v>2.315455</v>
      </c>
      <c r="E286" s="17">
        <f>D286+'Табл.1 Текущий дефицит'!D286</f>
        <v>6.755455</v>
      </c>
      <c r="F286" s="13">
        <v>4.6</v>
      </c>
      <c r="G286" s="14">
        <v>120</v>
      </c>
      <c r="H286" s="13">
        <f t="shared" si="21"/>
        <v>2.155455000000001</v>
      </c>
      <c r="I286" s="14">
        <v>0</v>
      </c>
      <c r="J286" s="13">
        <f>1.05*16</f>
        <v>16.8</v>
      </c>
      <c r="K286" s="13">
        <f t="shared" si="22"/>
        <v>14.644545</v>
      </c>
      <c r="L286" s="281"/>
      <c r="M286" s="282"/>
    </row>
    <row r="287" spans="1:13" ht="28.5">
      <c r="A287" s="300">
        <v>59</v>
      </c>
      <c r="B287" s="76" t="s">
        <v>216</v>
      </c>
      <c r="C287" s="43" t="s">
        <v>326</v>
      </c>
      <c r="D287" s="117">
        <f>D288+D289</f>
        <v>0.31</v>
      </c>
      <c r="E287" s="17">
        <f>D287+'Табл.1 Текущий дефицит'!D287</f>
        <v>4.64</v>
      </c>
      <c r="F287" s="13">
        <v>12.34</v>
      </c>
      <c r="G287" s="14">
        <v>120</v>
      </c>
      <c r="H287" s="13">
        <f t="shared" si="21"/>
        <v>-7.7</v>
      </c>
      <c r="I287" s="14">
        <v>0</v>
      </c>
      <c r="J287" s="13">
        <f>1.05*25</f>
        <v>26.25</v>
      </c>
      <c r="K287" s="13">
        <f t="shared" si="22"/>
        <v>33.95</v>
      </c>
      <c r="L287" s="281">
        <f>MIN(K287:K289)</f>
        <v>24.967</v>
      </c>
      <c r="M287" s="282" t="s">
        <v>362</v>
      </c>
    </row>
    <row r="288" spans="1:13" ht="28.5">
      <c r="A288" s="300"/>
      <c r="B288" s="76" t="s">
        <v>348</v>
      </c>
      <c r="C288" s="43">
        <v>25</v>
      </c>
      <c r="D288" s="117">
        <v>0.197</v>
      </c>
      <c r="E288" s="17">
        <f>D288+'Табл.1 Текущий дефицит'!D288</f>
        <v>3.137</v>
      </c>
      <c r="F288" s="13">
        <v>12.12</v>
      </c>
      <c r="G288" s="14"/>
      <c r="H288" s="13">
        <f t="shared" si="21"/>
        <v>-8.982999999999999</v>
      </c>
      <c r="I288" s="14">
        <v>0</v>
      </c>
      <c r="J288" s="13">
        <f>1.05*25</f>
        <v>26.25</v>
      </c>
      <c r="K288" s="13">
        <f t="shared" si="22"/>
        <v>35.233</v>
      </c>
      <c r="L288" s="281"/>
      <c r="M288" s="282"/>
    </row>
    <row r="289" spans="1:13" ht="28.5">
      <c r="A289" s="300"/>
      <c r="B289" s="76" t="s">
        <v>349</v>
      </c>
      <c r="C289" s="43">
        <v>25</v>
      </c>
      <c r="D289" s="117">
        <v>0.11299999999999999</v>
      </c>
      <c r="E289" s="17">
        <f>D289+'Табл.1 Текущий дефицит'!D289</f>
        <v>1.503</v>
      </c>
      <c r="F289" s="13">
        <v>0.22</v>
      </c>
      <c r="G289" s="14">
        <v>10</v>
      </c>
      <c r="H289" s="13">
        <f t="shared" si="21"/>
        <v>1.283</v>
      </c>
      <c r="I289" s="14">
        <v>0</v>
      </c>
      <c r="J289" s="13">
        <f>1.05*25</f>
        <v>26.25</v>
      </c>
      <c r="K289" s="13">
        <f t="shared" si="22"/>
        <v>24.967</v>
      </c>
      <c r="L289" s="281"/>
      <c r="M289" s="282"/>
    </row>
    <row r="290" spans="1:13" ht="28.5">
      <c r="A290" s="300">
        <v>60</v>
      </c>
      <c r="B290" s="76" t="s">
        <v>217</v>
      </c>
      <c r="C290" s="43" t="s">
        <v>333</v>
      </c>
      <c r="D290" s="117">
        <f>D291+D292</f>
        <v>0.9309999999999999</v>
      </c>
      <c r="E290" s="17">
        <f>D290+'Табл.1 Текущий дефицит'!D290</f>
        <v>4.0809999999999995</v>
      </c>
      <c r="F290" s="13">
        <v>6.3</v>
      </c>
      <c r="G290" s="14">
        <v>80</v>
      </c>
      <c r="H290" s="13">
        <f t="shared" si="21"/>
        <v>-2.2190000000000003</v>
      </c>
      <c r="I290" s="14">
        <v>0</v>
      </c>
      <c r="J290" s="13">
        <f>1.05*7.5</f>
        <v>7.875</v>
      </c>
      <c r="K290" s="13">
        <f t="shared" si="22"/>
        <v>10.094000000000001</v>
      </c>
      <c r="L290" s="281">
        <f>MIN(K290:K292)</f>
        <v>7.141</v>
      </c>
      <c r="M290" s="282" t="s">
        <v>362</v>
      </c>
    </row>
    <row r="291" spans="1:13" ht="28.5">
      <c r="A291" s="300"/>
      <c r="B291" s="76" t="s">
        <v>348</v>
      </c>
      <c r="C291" s="43" t="s">
        <v>333</v>
      </c>
      <c r="D291" s="117">
        <f>D79+D341+D385</f>
        <v>0.08700000000000001</v>
      </c>
      <c r="E291" s="17">
        <f>D291+'Табл.1 Текущий дефицит'!D291</f>
        <v>0.947</v>
      </c>
      <c r="F291" s="13">
        <v>3.9</v>
      </c>
      <c r="G291" s="14"/>
      <c r="H291" s="13">
        <f t="shared" si="21"/>
        <v>-2.953</v>
      </c>
      <c r="I291" s="14">
        <v>0</v>
      </c>
      <c r="J291" s="13">
        <f>1.05*7.5</f>
        <v>7.875</v>
      </c>
      <c r="K291" s="13">
        <f t="shared" si="22"/>
        <v>10.828</v>
      </c>
      <c r="L291" s="281"/>
      <c r="M291" s="282"/>
    </row>
    <row r="292" spans="1:13" ht="28.5">
      <c r="A292" s="300"/>
      <c r="B292" s="76" t="s">
        <v>349</v>
      </c>
      <c r="C292" s="43" t="s">
        <v>333</v>
      </c>
      <c r="D292" s="117">
        <v>0.844</v>
      </c>
      <c r="E292" s="17">
        <f>D292+'Табл.1 Текущий дефицит'!D292</f>
        <v>3.134</v>
      </c>
      <c r="F292" s="13">
        <v>2.4</v>
      </c>
      <c r="G292" s="14">
        <v>80</v>
      </c>
      <c r="H292" s="13">
        <f t="shared" si="21"/>
        <v>0.734</v>
      </c>
      <c r="I292" s="14">
        <v>0</v>
      </c>
      <c r="J292" s="13">
        <f>1.05*7.5</f>
        <v>7.875</v>
      </c>
      <c r="K292" s="13">
        <f t="shared" si="22"/>
        <v>7.141</v>
      </c>
      <c r="L292" s="281"/>
      <c r="M292" s="282"/>
    </row>
    <row r="293" spans="1:13" ht="28.5">
      <c r="A293" s="300">
        <v>61</v>
      </c>
      <c r="B293" s="76" t="s">
        <v>218</v>
      </c>
      <c r="C293" s="43" t="s">
        <v>323</v>
      </c>
      <c r="D293" s="117">
        <f>D294+D295</f>
        <v>0.942225</v>
      </c>
      <c r="E293" s="17">
        <f>D293+'Табл.1 Текущий дефицит'!D293</f>
        <v>4.182225</v>
      </c>
      <c r="F293" s="13">
        <v>9.379999999999999</v>
      </c>
      <c r="G293" s="14">
        <v>10</v>
      </c>
      <c r="H293" s="13">
        <f t="shared" si="21"/>
        <v>-5.197774999999999</v>
      </c>
      <c r="I293" s="14">
        <v>0</v>
      </c>
      <c r="J293" s="13">
        <f>1.05*16</f>
        <v>16.8</v>
      </c>
      <c r="K293" s="13">
        <f t="shared" si="22"/>
        <v>21.997775</v>
      </c>
      <c r="L293" s="281">
        <f>MIN(K293:K295)</f>
        <v>15.566</v>
      </c>
      <c r="M293" s="282" t="s">
        <v>362</v>
      </c>
    </row>
    <row r="294" spans="1:13" ht="28.5">
      <c r="A294" s="300"/>
      <c r="B294" s="76" t="s">
        <v>348</v>
      </c>
      <c r="C294" s="43">
        <v>16</v>
      </c>
      <c r="D294" s="117">
        <f>D51+D112+D114+D123+D383</f>
        <v>0.49822500000000003</v>
      </c>
      <c r="E294" s="17">
        <f>D294+'Табл.1 Текущий дефицит'!D294</f>
        <v>2.6582250000000003</v>
      </c>
      <c r="F294" s="13">
        <v>9.09</v>
      </c>
      <c r="G294" s="14"/>
      <c r="H294" s="13">
        <f t="shared" si="21"/>
        <v>-6.431775</v>
      </c>
      <c r="I294" s="14">
        <v>0</v>
      </c>
      <c r="J294" s="13">
        <f>1.05*16</f>
        <v>16.8</v>
      </c>
      <c r="K294" s="13">
        <f t="shared" si="22"/>
        <v>23.231775</v>
      </c>
      <c r="L294" s="281"/>
      <c r="M294" s="282"/>
    </row>
    <row r="295" spans="1:13" ht="28.5">
      <c r="A295" s="300"/>
      <c r="B295" s="76" t="s">
        <v>349</v>
      </c>
      <c r="C295" s="43">
        <v>16</v>
      </c>
      <c r="D295" s="117">
        <f>0.254+0.015+0.045+0.014+0.045+0.0315+0.038+0.0015</f>
        <v>0.44399999999999995</v>
      </c>
      <c r="E295" s="17">
        <f>D295+'Табл.1 Текущий дефицит'!D295</f>
        <v>1.524</v>
      </c>
      <c r="F295" s="13">
        <v>0.29</v>
      </c>
      <c r="G295" s="14">
        <v>120</v>
      </c>
      <c r="H295" s="13">
        <f t="shared" si="21"/>
        <v>1.234</v>
      </c>
      <c r="I295" s="14">
        <v>0</v>
      </c>
      <c r="J295" s="13">
        <f>1.05*16</f>
        <v>16.8</v>
      </c>
      <c r="K295" s="13">
        <f t="shared" si="22"/>
        <v>15.566</v>
      </c>
      <c r="L295" s="281"/>
      <c r="M295" s="282"/>
    </row>
    <row r="296" spans="1:13" ht="28.5">
      <c r="A296" s="300">
        <v>62</v>
      </c>
      <c r="B296" s="76" t="s">
        <v>219</v>
      </c>
      <c r="C296" s="43" t="s">
        <v>324</v>
      </c>
      <c r="D296" s="117">
        <f>D297+D298</f>
        <v>0.20443699999999998</v>
      </c>
      <c r="E296" s="17">
        <f>D296+'Табл.1 Текущий дефицит'!D296</f>
        <v>2.904437</v>
      </c>
      <c r="F296" s="13">
        <v>8.25</v>
      </c>
      <c r="G296" s="14">
        <v>120</v>
      </c>
      <c r="H296" s="13">
        <f t="shared" si="21"/>
        <v>-5.345563</v>
      </c>
      <c r="I296" s="14">
        <v>0</v>
      </c>
      <c r="J296" s="13">
        <f>1.05*6.3</f>
        <v>6.615</v>
      </c>
      <c r="K296" s="13">
        <f t="shared" si="22"/>
        <v>11.960563</v>
      </c>
      <c r="L296" s="281">
        <f>MIN(K296:K298)</f>
        <v>6.997</v>
      </c>
      <c r="M296" s="282" t="s">
        <v>362</v>
      </c>
    </row>
    <row r="297" spans="1:13" ht="28.5">
      <c r="A297" s="300"/>
      <c r="B297" s="76" t="s">
        <v>348</v>
      </c>
      <c r="C297" s="43">
        <v>6.3</v>
      </c>
      <c r="D297" s="117">
        <f>D48+D83+D135+D143+D338</f>
        <v>0.17643699999999998</v>
      </c>
      <c r="E297" s="17">
        <f>D297+'Табл.1 Текущий дефицит'!D297</f>
        <v>2.0364370000000003</v>
      </c>
      <c r="F297" s="13">
        <v>7</v>
      </c>
      <c r="G297" s="14"/>
      <c r="H297" s="13">
        <f t="shared" si="21"/>
        <v>-4.963563</v>
      </c>
      <c r="I297" s="14">
        <v>0</v>
      </c>
      <c r="J297" s="13">
        <f>1.05*6.3</f>
        <v>6.615</v>
      </c>
      <c r="K297" s="13">
        <f t="shared" si="22"/>
        <v>11.578562999999999</v>
      </c>
      <c r="L297" s="281"/>
      <c r="M297" s="282"/>
    </row>
    <row r="298" spans="1:13" ht="28.5">
      <c r="A298" s="300"/>
      <c r="B298" s="76" t="s">
        <v>349</v>
      </c>
      <c r="C298" s="43">
        <v>6.3</v>
      </c>
      <c r="D298" s="117">
        <v>0.028</v>
      </c>
      <c r="E298" s="17">
        <f>D298+'Табл.1 Текущий дефицит'!D298</f>
        <v>0.868</v>
      </c>
      <c r="F298" s="13">
        <v>1.25</v>
      </c>
      <c r="G298" s="14">
        <v>129</v>
      </c>
      <c r="H298" s="13">
        <f t="shared" si="21"/>
        <v>-0.382</v>
      </c>
      <c r="I298" s="14">
        <v>0</v>
      </c>
      <c r="J298" s="13">
        <f>1.05*6.3</f>
        <v>6.615</v>
      </c>
      <c r="K298" s="13">
        <f t="shared" si="22"/>
        <v>6.997</v>
      </c>
      <c r="L298" s="281"/>
      <c r="M298" s="282"/>
    </row>
    <row r="299" spans="1:13" ht="28.5">
      <c r="A299" s="300">
        <v>63</v>
      </c>
      <c r="B299" s="76" t="s">
        <v>220</v>
      </c>
      <c r="C299" s="43" t="s">
        <v>329</v>
      </c>
      <c r="D299" s="117">
        <f>D300+D301</f>
        <v>0.7050000000000001</v>
      </c>
      <c r="E299" s="17">
        <f>D299+'Табл.1 Текущий дефицит'!D299</f>
        <v>5.305</v>
      </c>
      <c r="F299" s="13">
        <v>13.73</v>
      </c>
      <c r="G299" s="14">
        <v>120</v>
      </c>
      <c r="H299" s="13">
        <f t="shared" si="21"/>
        <v>-8.425</v>
      </c>
      <c r="I299" s="14">
        <v>0</v>
      </c>
      <c r="J299" s="13">
        <f>1.05*10</f>
        <v>10.5</v>
      </c>
      <c r="K299" s="13">
        <f t="shared" si="22"/>
        <v>18.925</v>
      </c>
      <c r="L299" s="281">
        <f>MIN(K299:K301)</f>
        <v>11.684</v>
      </c>
      <c r="M299" s="282" t="s">
        <v>362</v>
      </c>
    </row>
    <row r="300" spans="1:13" ht="28.5">
      <c r="A300" s="300"/>
      <c r="B300" s="76" t="s">
        <v>348</v>
      </c>
      <c r="C300" s="43">
        <v>10</v>
      </c>
      <c r="D300" s="117">
        <f>D129+D133+D309+D330+D366+D379+D390</f>
        <v>0.559</v>
      </c>
      <c r="E300" s="17">
        <f>D300+'Табл.1 Текущий дефицит'!D300</f>
        <v>3.959</v>
      </c>
      <c r="F300" s="13">
        <v>11.2</v>
      </c>
      <c r="G300" s="14"/>
      <c r="H300" s="13">
        <f t="shared" si="21"/>
        <v>-7.241</v>
      </c>
      <c r="I300" s="14">
        <v>0</v>
      </c>
      <c r="J300" s="13">
        <f>1.05*10</f>
        <v>10.5</v>
      </c>
      <c r="K300" s="13">
        <f t="shared" si="22"/>
        <v>17.741</v>
      </c>
      <c r="L300" s="281"/>
      <c r="M300" s="282"/>
    </row>
    <row r="301" spans="1:13" ht="28.5">
      <c r="A301" s="300"/>
      <c r="B301" s="76" t="s">
        <v>349</v>
      </c>
      <c r="C301" s="43">
        <v>10</v>
      </c>
      <c r="D301" s="117">
        <v>0.14600000000000002</v>
      </c>
      <c r="E301" s="17">
        <f>D301+'Табл.1 Текущий дефицит'!D301</f>
        <v>1.346</v>
      </c>
      <c r="F301" s="13">
        <v>2.53</v>
      </c>
      <c r="G301" s="14">
        <v>120</v>
      </c>
      <c r="H301" s="13">
        <f t="shared" si="21"/>
        <v>-1.1839999999999997</v>
      </c>
      <c r="I301" s="14">
        <v>0</v>
      </c>
      <c r="J301" s="13">
        <f>1.05*10</f>
        <v>10.5</v>
      </c>
      <c r="K301" s="13">
        <f t="shared" si="22"/>
        <v>11.684</v>
      </c>
      <c r="L301" s="281"/>
      <c r="M301" s="282"/>
    </row>
    <row r="302" spans="1:13" ht="15">
      <c r="A302" s="300">
        <v>64</v>
      </c>
      <c r="B302" s="76" t="s">
        <v>221</v>
      </c>
      <c r="C302" s="43" t="s">
        <v>326</v>
      </c>
      <c r="D302" s="117">
        <f>D303+D304</f>
        <v>1.033</v>
      </c>
      <c r="E302" s="17">
        <f>D302+'Табл.1 Текущий дефицит'!D302</f>
        <v>11.523</v>
      </c>
      <c r="F302" s="13">
        <v>12.899999999999999</v>
      </c>
      <c r="G302" s="14">
        <v>120</v>
      </c>
      <c r="H302" s="13">
        <f t="shared" si="21"/>
        <v>-1.376999999999999</v>
      </c>
      <c r="I302" s="14">
        <v>0</v>
      </c>
      <c r="J302" s="13">
        <f>1.05*25</f>
        <v>26.25</v>
      </c>
      <c r="K302" s="13">
        <f t="shared" si="22"/>
        <v>27.627</v>
      </c>
      <c r="L302" s="281">
        <f>MIN(K302:K304)</f>
        <v>21.251</v>
      </c>
      <c r="M302" s="282" t="s">
        <v>362</v>
      </c>
    </row>
    <row r="303" spans="1:13" ht="28.5">
      <c r="A303" s="300"/>
      <c r="B303" s="76" t="s">
        <v>348</v>
      </c>
      <c r="C303" s="43">
        <v>25</v>
      </c>
      <c r="D303" s="117">
        <f>D35+D102+D136+D141+D335+D357+D391</f>
        <v>0.7539999999999999</v>
      </c>
      <c r="E303" s="17">
        <f>D303+'Табл.1 Текущий дефицит'!D303</f>
        <v>5.744</v>
      </c>
      <c r="F303" s="13">
        <v>12.12</v>
      </c>
      <c r="G303" s="14"/>
      <c r="H303" s="13">
        <f t="shared" si="21"/>
        <v>-6.3759999999999994</v>
      </c>
      <c r="I303" s="14">
        <v>0</v>
      </c>
      <c r="J303" s="13">
        <f>1.05*25</f>
        <v>26.25</v>
      </c>
      <c r="K303" s="13">
        <f t="shared" si="22"/>
        <v>32.626</v>
      </c>
      <c r="L303" s="281"/>
      <c r="M303" s="282"/>
    </row>
    <row r="304" spans="1:13" ht="28.5">
      <c r="A304" s="300"/>
      <c r="B304" s="76" t="s">
        <v>349</v>
      </c>
      <c r="C304" s="43">
        <v>25</v>
      </c>
      <c r="D304" s="117">
        <v>0.279</v>
      </c>
      <c r="E304" s="17">
        <f>D304+'Табл.1 Текущий дефицит'!D304</f>
        <v>5.779</v>
      </c>
      <c r="F304" s="13">
        <v>0.78</v>
      </c>
      <c r="G304" s="14">
        <v>120</v>
      </c>
      <c r="H304" s="13">
        <f t="shared" si="21"/>
        <v>4.999</v>
      </c>
      <c r="I304" s="14">
        <v>0</v>
      </c>
      <c r="J304" s="13">
        <f>1.05*25</f>
        <v>26.25</v>
      </c>
      <c r="K304" s="13">
        <f t="shared" si="22"/>
        <v>21.251</v>
      </c>
      <c r="L304" s="281"/>
      <c r="M304" s="282"/>
    </row>
    <row r="305" spans="1:13" ht="28.5">
      <c r="A305" s="300">
        <v>65</v>
      </c>
      <c r="B305" s="76" t="s">
        <v>222</v>
      </c>
      <c r="C305" s="43" t="s">
        <v>333</v>
      </c>
      <c r="D305" s="117">
        <f>D306+D307</f>
        <v>1.2672500000000002</v>
      </c>
      <c r="E305" s="17">
        <f>D305+'Табл.1 Текущий дефицит'!D305</f>
        <v>3.8272500000000003</v>
      </c>
      <c r="F305" s="13">
        <v>6.31</v>
      </c>
      <c r="G305" s="14">
        <v>10</v>
      </c>
      <c r="H305" s="13">
        <f t="shared" si="21"/>
        <v>-2.4827499999999993</v>
      </c>
      <c r="I305" s="14">
        <v>0</v>
      </c>
      <c r="J305" s="13">
        <f>1.05*7.5</f>
        <v>7.875</v>
      </c>
      <c r="K305" s="13">
        <f t="shared" si="22"/>
        <v>10.35775</v>
      </c>
      <c r="L305" s="281">
        <f>MIN(K305:K307)</f>
        <v>6.387</v>
      </c>
      <c r="M305" s="282" t="s">
        <v>362</v>
      </c>
    </row>
    <row r="306" spans="1:13" ht="28.5">
      <c r="A306" s="300"/>
      <c r="B306" s="76" t="s">
        <v>348</v>
      </c>
      <c r="C306" s="43" t="s">
        <v>333</v>
      </c>
      <c r="D306" s="117">
        <f>D40+D41+D49+D72</f>
        <v>0.8242500000000001</v>
      </c>
      <c r="E306" s="17">
        <f>D306+'Табл.1 Текущий дефицит'!D306</f>
        <v>2.08425</v>
      </c>
      <c r="F306" s="13">
        <v>6.06</v>
      </c>
      <c r="G306" s="14"/>
      <c r="H306" s="13">
        <f t="shared" si="21"/>
        <v>-3.9757499999999997</v>
      </c>
      <c r="I306" s="14">
        <v>0</v>
      </c>
      <c r="J306" s="13">
        <v>7.88</v>
      </c>
      <c r="K306" s="13">
        <f t="shared" si="22"/>
        <v>11.85575</v>
      </c>
      <c r="L306" s="281"/>
      <c r="M306" s="282"/>
    </row>
    <row r="307" spans="1:13" ht="28.5">
      <c r="A307" s="300"/>
      <c r="B307" s="76" t="s">
        <v>349</v>
      </c>
      <c r="C307" s="43" t="s">
        <v>333</v>
      </c>
      <c r="D307" s="117">
        <v>0.44300000000000006</v>
      </c>
      <c r="E307" s="17">
        <f>D307+'Табл.1 Текущий дефицит'!D307</f>
        <v>1.743</v>
      </c>
      <c r="F307" s="13">
        <v>0.25</v>
      </c>
      <c r="G307" s="14">
        <v>10</v>
      </c>
      <c r="H307" s="13">
        <f t="shared" si="21"/>
        <v>1.493</v>
      </c>
      <c r="I307" s="14">
        <v>0</v>
      </c>
      <c r="J307" s="13">
        <v>7.88</v>
      </c>
      <c r="K307" s="13">
        <f t="shared" si="22"/>
        <v>6.387</v>
      </c>
      <c r="L307" s="281"/>
      <c r="M307" s="282"/>
    </row>
    <row r="308" spans="1:13" ht="15">
      <c r="A308" s="42">
        <v>66</v>
      </c>
      <c r="B308" s="76" t="s">
        <v>223</v>
      </c>
      <c r="C308" s="43" t="s">
        <v>325</v>
      </c>
      <c r="D308" s="117">
        <v>0.018000000000000002</v>
      </c>
      <c r="E308" s="17">
        <f>D308+'Табл.1 Текущий дефицит'!D308</f>
        <v>0.378</v>
      </c>
      <c r="F308" s="13">
        <v>0.2</v>
      </c>
      <c r="G308" s="14">
        <v>120</v>
      </c>
      <c r="H308" s="13">
        <f t="shared" si="21"/>
        <v>0.178</v>
      </c>
      <c r="I308" s="14">
        <v>0</v>
      </c>
      <c r="J308" s="13">
        <f>1.05*2.5</f>
        <v>2.625</v>
      </c>
      <c r="K308" s="13">
        <f t="shared" si="22"/>
        <v>2.447</v>
      </c>
      <c r="L308" s="13">
        <f>K308</f>
        <v>2.447</v>
      </c>
      <c r="M308" s="23" t="s">
        <v>362</v>
      </c>
    </row>
    <row r="309" spans="1:13" ht="28.5">
      <c r="A309" s="42">
        <v>67</v>
      </c>
      <c r="B309" s="76" t="s">
        <v>224</v>
      </c>
      <c r="C309" s="43" t="s">
        <v>334</v>
      </c>
      <c r="D309" s="117">
        <v>0.038</v>
      </c>
      <c r="E309" s="17">
        <f>D309+'Табл.1 Текущий дефицит'!D309</f>
        <v>0.488</v>
      </c>
      <c r="F309" s="13">
        <v>0.37</v>
      </c>
      <c r="G309" s="14">
        <v>120</v>
      </c>
      <c r="H309" s="13">
        <f t="shared" si="21"/>
        <v>0.118</v>
      </c>
      <c r="I309" s="14">
        <v>0</v>
      </c>
      <c r="J309" s="13">
        <f>1.05*1.6</f>
        <v>1.6800000000000002</v>
      </c>
      <c r="K309" s="13">
        <f t="shared" si="22"/>
        <v>1.5620000000000003</v>
      </c>
      <c r="L309" s="13">
        <f>K309</f>
        <v>1.5620000000000003</v>
      </c>
      <c r="M309" s="23" t="s">
        <v>362</v>
      </c>
    </row>
    <row r="310" spans="1:13" ht="28.5">
      <c r="A310" s="42">
        <v>68</v>
      </c>
      <c r="B310" s="76" t="s">
        <v>225</v>
      </c>
      <c r="C310" s="43" t="s">
        <v>335</v>
      </c>
      <c r="D310" s="117">
        <v>0.07</v>
      </c>
      <c r="E310" s="17">
        <f>D310+'Табл.1 Текущий дефицит'!D310</f>
        <v>1.29</v>
      </c>
      <c r="F310" s="13">
        <v>1.1</v>
      </c>
      <c r="G310" s="14">
        <v>80</v>
      </c>
      <c r="H310" s="13">
        <f t="shared" si="21"/>
        <v>0.18999999999999995</v>
      </c>
      <c r="I310" s="14">
        <v>0</v>
      </c>
      <c r="J310" s="13">
        <f>1.05*4</f>
        <v>4.2</v>
      </c>
      <c r="K310" s="13">
        <f t="shared" si="22"/>
        <v>4.01</v>
      </c>
      <c r="L310" s="13">
        <f>K310</f>
        <v>4.01</v>
      </c>
      <c r="M310" s="23" t="s">
        <v>362</v>
      </c>
    </row>
    <row r="311" spans="1:13" ht="15">
      <c r="A311" s="42">
        <v>69</v>
      </c>
      <c r="B311" s="76" t="s">
        <v>37</v>
      </c>
      <c r="C311" s="43" t="s">
        <v>339</v>
      </c>
      <c r="D311" s="117">
        <v>0.062</v>
      </c>
      <c r="E311" s="17">
        <f>D311+'Табл.1 Текущий дефицит'!D311</f>
        <v>0.262</v>
      </c>
      <c r="F311" s="13">
        <v>1.43</v>
      </c>
      <c r="G311" s="14">
        <v>120</v>
      </c>
      <c r="H311" s="13">
        <f t="shared" si="21"/>
        <v>-1.168</v>
      </c>
      <c r="I311" s="14">
        <v>0</v>
      </c>
      <c r="J311" s="13">
        <f>1.05*1.6</f>
        <v>1.6800000000000002</v>
      </c>
      <c r="K311" s="13">
        <f t="shared" si="22"/>
        <v>2.848</v>
      </c>
      <c r="L311" s="13">
        <f aca="true" t="shared" si="23" ref="L311:L373">K311</f>
        <v>2.848</v>
      </c>
      <c r="M311" s="23" t="s">
        <v>362</v>
      </c>
    </row>
    <row r="312" spans="1:13" ht="15">
      <c r="A312" s="42">
        <v>70</v>
      </c>
      <c r="B312" s="76" t="s">
        <v>226</v>
      </c>
      <c r="C312" s="43" t="s">
        <v>335</v>
      </c>
      <c r="D312" s="117">
        <v>0.7050000000000002</v>
      </c>
      <c r="E312" s="17">
        <f>D312+'Табл.1 Текущий дефицит'!D312</f>
        <v>1.3150000000000002</v>
      </c>
      <c r="F312" s="13">
        <v>6.1</v>
      </c>
      <c r="G312" s="14">
        <v>0</v>
      </c>
      <c r="H312" s="13">
        <f t="shared" si="21"/>
        <v>-4.784999999999999</v>
      </c>
      <c r="I312" s="14">
        <v>0</v>
      </c>
      <c r="J312" s="13">
        <f>1.05*4</f>
        <v>4.2</v>
      </c>
      <c r="K312" s="13">
        <f t="shared" si="22"/>
        <v>8.985</v>
      </c>
      <c r="L312" s="13">
        <f t="shared" si="23"/>
        <v>8.985</v>
      </c>
      <c r="M312" s="23" t="s">
        <v>362</v>
      </c>
    </row>
    <row r="313" spans="1:13" ht="15">
      <c r="A313" s="42">
        <v>71</v>
      </c>
      <c r="B313" s="76" t="s">
        <v>227</v>
      </c>
      <c r="C313" s="43" t="s">
        <v>336</v>
      </c>
      <c r="D313" s="117">
        <v>0.0268</v>
      </c>
      <c r="E313" s="17">
        <f>D313+'Табл.1 Текущий дефицит'!D313</f>
        <v>0.1068</v>
      </c>
      <c r="F313" s="13">
        <v>0.15</v>
      </c>
      <c r="G313" s="14">
        <v>120</v>
      </c>
      <c r="H313" s="13">
        <f t="shared" si="21"/>
        <v>-0.04319999999999999</v>
      </c>
      <c r="I313" s="14">
        <v>0</v>
      </c>
      <c r="J313" s="13">
        <f>1.05*1</f>
        <v>1.05</v>
      </c>
      <c r="K313" s="13">
        <f t="shared" si="22"/>
        <v>1.0932</v>
      </c>
      <c r="L313" s="13">
        <f t="shared" si="23"/>
        <v>1.0932</v>
      </c>
      <c r="M313" s="23" t="s">
        <v>362</v>
      </c>
    </row>
    <row r="314" spans="1:13" ht="15">
      <c r="A314" s="42">
        <v>72</v>
      </c>
      <c r="B314" s="76" t="s">
        <v>228</v>
      </c>
      <c r="C314" s="43" t="s">
        <v>337</v>
      </c>
      <c r="D314" s="117">
        <v>0.107</v>
      </c>
      <c r="E314" s="17">
        <f>D314+'Табл.1 Текущий дефицит'!D314</f>
        <v>1.157</v>
      </c>
      <c r="F314" s="13">
        <v>0.29</v>
      </c>
      <c r="G314" s="14">
        <v>120</v>
      </c>
      <c r="H314" s="13">
        <f t="shared" si="21"/>
        <v>0.867</v>
      </c>
      <c r="I314" s="14">
        <v>0</v>
      </c>
      <c r="J314" s="13">
        <f>1.05*2.5</f>
        <v>2.625</v>
      </c>
      <c r="K314" s="13">
        <f t="shared" si="22"/>
        <v>1.758</v>
      </c>
      <c r="L314" s="13">
        <f t="shared" si="23"/>
        <v>1.758</v>
      </c>
      <c r="M314" s="23" t="s">
        <v>362</v>
      </c>
    </row>
    <row r="315" spans="1:13" ht="15">
      <c r="A315" s="42">
        <v>73</v>
      </c>
      <c r="B315" s="76" t="s">
        <v>229</v>
      </c>
      <c r="C315" s="43" t="s">
        <v>325</v>
      </c>
      <c r="D315" s="117">
        <v>0.109</v>
      </c>
      <c r="E315" s="17">
        <f>D315+'Табл.1 Текущий дефицит'!D315</f>
        <v>0.509</v>
      </c>
      <c r="F315" s="13">
        <v>0.41</v>
      </c>
      <c r="G315" s="14">
        <v>120</v>
      </c>
      <c r="H315" s="13">
        <f t="shared" si="21"/>
        <v>0.09900000000000003</v>
      </c>
      <c r="I315" s="14">
        <v>0</v>
      </c>
      <c r="J315" s="13">
        <f>1.05*2.5</f>
        <v>2.625</v>
      </c>
      <c r="K315" s="13">
        <f t="shared" si="22"/>
        <v>2.526</v>
      </c>
      <c r="L315" s="13">
        <f t="shared" si="23"/>
        <v>2.526</v>
      </c>
      <c r="M315" s="23" t="s">
        <v>362</v>
      </c>
    </row>
    <row r="316" spans="1:13" ht="15">
      <c r="A316" s="42">
        <v>74</v>
      </c>
      <c r="B316" s="76" t="s">
        <v>230</v>
      </c>
      <c r="C316" s="43" t="s">
        <v>338</v>
      </c>
      <c r="D316" s="117">
        <v>0.6150000000000001</v>
      </c>
      <c r="E316" s="17">
        <f>D316+'Табл.1 Текущий дефицит'!D316</f>
        <v>1.9850000000000003</v>
      </c>
      <c r="F316" s="13">
        <v>0.4</v>
      </c>
      <c r="G316" s="14">
        <v>120</v>
      </c>
      <c r="H316" s="13">
        <f t="shared" si="21"/>
        <v>1.5850000000000004</v>
      </c>
      <c r="I316" s="14">
        <v>0</v>
      </c>
      <c r="J316" s="13">
        <f>1.05*4</f>
        <v>4.2</v>
      </c>
      <c r="K316" s="13">
        <f t="shared" si="22"/>
        <v>2.6149999999999998</v>
      </c>
      <c r="L316" s="13">
        <f t="shared" si="23"/>
        <v>2.6149999999999998</v>
      </c>
      <c r="M316" s="23" t="s">
        <v>362</v>
      </c>
    </row>
    <row r="317" spans="1:13" ht="15">
      <c r="A317" s="42">
        <v>75</v>
      </c>
      <c r="B317" s="76" t="s">
        <v>231</v>
      </c>
      <c r="C317" s="43" t="s">
        <v>339</v>
      </c>
      <c r="D317" s="117">
        <v>0.465</v>
      </c>
      <c r="E317" s="17">
        <f>D317+'Табл.1 Текущий дефицит'!D317</f>
        <v>1.0150000000000001</v>
      </c>
      <c r="F317" s="13">
        <v>0.22</v>
      </c>
      <c r="G317" s="14">
        <v>120</v>
      </c>
      <c r="H317" s="13">
        <f t="shared" si="21"/>
        <v>0.7950000000000002</v>
      </c>
      <c r="I317" s="14">
        <v>0</v>
      </c>
      <c r="J317" s="13">
        <f>1.05*1.6</f>
        <v>1.6800000000000002</v>
      </c>
      <c r="K317" s="13">
        <f t="shared" si="22"/>
        <v>0.885</v>
      </c>
      <c r="L317" s="13">
        <f t="shared" si="23"/>
        <v>0.885</v>
      </c>
      <c r="M317" s="23" t="s">
        <v>362</v>
      </c>
    </row>
    <row r="318" spans="1:13" ht="28.5">
      <c r="A318" s="42">
        <v>76</v>
      </c>
      <c r="B318" s="76" t="s">
        <v>232</v>
      </c>
      <c r="C318" s="43" t="s">
        <v>337</v>
      </c>
      <c r="D318" s="117">
        <v>0.0674</v>
      </c>
      <c r="E318" s="17">
        <f>D318+'Табл.1 Текущий дефицит'!D318</f>
        <v>0.46740000000000004</v>
      </c>
      <c r="F318" s="13">
        <v>0.46</v>
      </c>
      <c r="G318" s="14">
        <v>120</v>
      </c>
      <c r="H318" s="13">
        <f t="shared" si="21"/>
        <v>0.007400000000000018</v>
      </c>
      <c r="I318" s="14">
        <v>0</v>
      </c>
      <c r="J318" s="13">
        <f>1.05*2.5</f>
        <v>2.625</v>
      </c>
      <c r="K318" s="13">
        <f t="shared" si="22"/>
        <v>2.6176</v>
      </c>
      <c r="L318" s="13">
        <f t="shared" si="23"/>
        <v>2.6176</v>
      </c>
      <c r="M318" s="23" t="s">
        <v>362</v>
      </c>
    </row>
    <row r="319" spans="1:13" ht="15">
      <c r="A319" s="42">
        <v>77</v>
      </c>
      <c r="B319" s="76" t="s">
        <v>233</v>
      </c>
      <c r="C319" s="43" t="s">
        <v>335</v>
      </c>
      <c r="D319" s="117">
        <v>0.047</v>
      </c>
      <c r="E319" s="17">
        <f>D319+'Табл.1 Текущий дефицит'!D319</f>
        <v>0.447</v>
      </c>
      <c r="F319" s="13">
        <v>0</v>
      </c>
      <c r="G319" s="14">
        <v>0</v>
      </c>
      <c r="H319" s="13">
        <f t="shared" si="21"/>
        <v>0.447</v>
      </c>
      <c r="I319" s="14">
        <v>0</v>
      </c>
      <c r="J319" s="13">
        <f>1.05*4</f>
        <v>4.2</v>
      </c>
      <c r="K319" s="13">
        <f t="shared" si="22"/>
        <v>3.753</v>
      </c>
      <c r="L319" s="13">
        <f t="shared" si="23"/>
        <v>3.753</v>
      </c>
      <c r="M319" s="23" t="s">
        <v>362</v>
      </c>
    </row>
    <row r="320" spans="1:13" ht="15">
      <c r="A320" s="42">
        <v>78</v>
      </c>
      <c r="B320" s="76" t="s">
        <v>234</v>
      </c>
      <c r="C320" s="43" t="s">
        <v>324</v>
      </c>
      <c r="D320" s="117">
        <v>0.4276000000000001</v>
      </c>
      <c r="E320" s="17">
        <f>D320+'Табл.1 Текущий дефицит'!D320</f>
        <v>2.7976</v>
      </c>
      <c r="F320" s="13">
        <v>0.46</v>
      </c>
      <c r="G320" s="14">
        <v>120</v>
      </c>
      <c r="H320" s="13">
        <f t="shared" si="21"/>
        <v>2.3376</v>
      </c>
      <c r="I320" s="14">
        <v>0</v>
      </c>
      <c r="J320" s="13">
        <f>1.05*6.3</f>
        <v>6.615</v>
      </c>
      <c r="K320" s="13">
        <f t="shared" si="22"/>
        <v>4.2774</v>
      </c>
      <c r="L320" s="13">
        <f t="shared" si="23"/>
        <v>4.2774</v>
      </c>
      <c r="M320" s="23" t="s">
        <v>362</v>
      </c>
    </row>
    <row r="321" spans="1:13" ht="15">
      <c r="A321" s="42">
        <v>79</v>
      </c>
      <c r="B321" s="76" t="s">
        <v>235</v>
      </c>
      <c r="C321" s="43" t="s">
        <v>325</v>
      </c>
      <c r="D321" s="117">
        <v>0.23000000000000004</v>
      </c>
      <c r="E321" s="17">
        <f>D321+'Табл.1 Текущий дефицит'!D321</f>
        <v>1.6099999999999999</v>
      </c>
      <c r="F321" s="13">
        <v>0.51</v>
      </c>
      <c r="G321" s="14">
        <v>120</v>
      </c>
      <c r="H321" s="13">
        <f t="shared" si="21"/>
        <v>1.0999999999999999</v>
      </c>
      <c r="I321" s="14">
        <v>0</v>
      </c>
      <c r="J321" s="13">
        <f>1.05*2.5</f>
        <v>2.625</v>
      </c>
      <c r="K321" s="13">
        <f t="shared" si="22"/>
        <v>1.5250000000000001</v>
      </c>
      <c r="L321" s="13">
        <f t="shared" si="23"/>
        <v>1.5250000000000001</v>
      </c>
      <c r="M321" s="23" t="s">
        <v>362</v>
      </c>
    </row>
    <row r="322" spans="1:13" ht="15">
      <c r="A322" s="42">
        <v>80</v>
      </c>
      <c r="B322" s="76" t="s">
        <v>236</v>
      </c>
      <c r="C322" s="43" t="s">
        <v>339</v>
      </c>
      <c r="D322" s="117">
        <v>0.017</v>
      </c>
      <c r="E322" s="17">
        <f>D322+'Табл.1 Текущий дефицит'!D322</f>
        <v>0.457</v>
      </c>
      <c r="F322" s="13">
        <v>0.17</v>
      </c>
      <c r="G322" s="14">
        <v>120</v>
      </c>
      <c r="H322" s="13">
        <f t="shared" si="21"/>
        <v>0.28700000000000003</v>
      </c>
      <c r="I322" s="14">
        <v>0</v>
      </c>
      <c r="J322" s="13">
        <f>1.05*1.6</f>
        <v>1.6800000000000002</v>
      </c>
      <c r="K322" s="13">
        <f t="shared" si="22"/>
        <v>1.3930000000000002</v>
      </c>
      <c r="L322" s="13">
        <f t="shared" si="23"/>
        <v>1.3930000000000002</v>
      </c>
      <c r="M322" s="23" t="s">
        <v>362</v>
      </c>
    </row>
    <row r="323" spans="1:13" ht="15">
      <c r="A323" s="42">
        <v>81</v>
      </c>
      <c r="B323" s="76" t="s">
        <v>237</v>
      </c>
      <c r="C323" s="43" t="s">
        <v>335</v>
      </c>
      <c r="D323" s="117"/>
      <c r="E323" s="17">
        <f>D323+'Табл.1 Текущий дефицит'!D323</f>
        <v>2.33</v>
      </c>
      <c r="F323" s="13">
        <v>0.7</v>
      </c>
      <c r="G323" s="14">
        <v>45</v>
      </c>
      <c r="H323" s="13">
        <f t="shared" si="21"/>
        <v>1.6300000000000001</v>
      </c>
      <c r="I323" s="14">
        <v>0</v>
      </c>
      <c r="J323" s="13">
        <f>1.05*4</f>
        <v>4.2</v>
      </c>
      <c r="K323" s="13">
        <f t="shared" si="22"/>
        <v>2.5700000000000003</v>
      </c>
      <c r="L323" s="13">
        <f t="shared" si="23"/>
        <v>2.5700000000000003</v>
      </c>
      <c r="M323" s="23" t="s">
        <v>362</v>
      </c>
    </row>
    <row r="324" spans="1:13" ht="15">
      <c r="A324" s="42">
        <v>82</v>
      </c>
      <c r="B324" s="76" t="s">
        <v>238</v>
      </c>
      <c r="C324" s="43" t="s">
        <v>325</v>
      </c>
      <c r="D324" s="117">
        <v>0.043000000000000003</v>
      </c>
      <c r="E324" s="17">
        <f>D324+'Табл.1 Текущий дефицит'!D324</f>
        <v>1.2429999999999999</v>
      </c>
      <c r="F324" s="13">
        <v>1.69</v>
      </c>
      <c r="G324" s="14">
        <v>20</v>
      </c>
      <c r="H324" s="13">
        <f t="shared" si="21"/>
        <v>-0.44700000000000006</v>
      </c>
      <c r="I324" s="14">
        <v>0</v>
      </c>
      <c r="J324" s="13">
        <f>1.05*2.5</f>
        <v>2.625</v>
      </c>
      <c r="K324" s="13">
        <f t="shared" si="22"/>
        <v>3.072</v>
      </c>
      <c r="L324" s="13">
        <f t="shared" si="23"/>
        <v>3.072</v>
      </c>
      <c r="M324" s="23" t="s">
        <v>362</v>
      </c>
    </row>
    <row r="325" spans="1:13" ht="28.5">
      <c r="A325" s="42">
        <v>83</v>
      </c>
      <c r="B325" s="76" t="s">
        <v>239</v>
      </c>
      <c r="C325" s="43" t="s">
        <v>339</v>
      </c>
      <c r="D325" s="117">
        <v>0.042</v>
      </c>
      <c r="E325" s="17">
        <f>D325+'Табл.1 Текущий дефицит'!D325</f>
        <v>0.292</v>
      </c>
      <c r="F325" s="13">
        <v>0.38</v>
      </c>
      <c r="G325" s="14">
        <v>120</v>
      </c>
      <c r="H325" s="13">
        <f t="shared" si="21"/>
        <v>-0.08800000000000002</v>
      </c>
      <c r="I325" s="14">
        <v>0</v>
      </c>
      <c r="J325" s="13">
        <f>1.05*1.6</f>
        <v>1.6800000000000002</v>
      </c>
      <c r="K325" s="13">
        <f t="shared" si="22"/>
        <v>1.7680000000000002</v>
      </c>
      <c r="L325" s="13">
        <f t="shared" si="23"/>
        <v>1.7680000000000002</v>
      </c>
      <c r="M325" s="23" t="s">
        <v>362</v>
      </c>
    </row>
    <row r="326" spans="1:13" ht="15">
      <c r="A326" s="42">
        <v>84</v>
      </c>
      <c r="B326" s="76" t="s">
        <v>240</v>
      </c>
      <c r="C326" s="43" t="s">
        <v>337</v>
      </c>
      <c r="D326" s="117">
        <v>0.14500000000000002</v>
      </c>
      <c r="E326" s="17">
        <f>D326+'Табл.1 Текущий дефицит'!D326</f>
        <v>3.585</v>
      </c>
      <c r="F326" s="13">
        <v>3.5</v>
      </c>
      <c r="G326" s="14">
        <v>0</v>
      </c>
      <c r="H326" s="13">
        <f t="shared" si="21"/>
        <v>0.08499999999999996</v>
      </c>
      <c r="I326" s="14">
        <v>0</v>
      </c>
      <c r="J326" s="13">
        <f>1.05*2.5</f>
        <v>2.625</v>
      </c>
      <c r="K326" s="13">
        <f t="shared" si="22"/>
        <v>2.54</v>
      </c>
      <c r="L326" s="13">
        <f t="shared" si="23"/>
        <v>2.54</v>
      </c>
      <c r="M326" s="23" t="s">
        <v>362</v>
      </c>
    </row>
    <row r="327" spans="1:13" ht="15">
      <c r="A327" s="42">
        <v>85</v>
      </c>
      <c r="B327" s="76" t="s">
        <v>241</v>
      </c>
      <c r="C327" s="43" t="s">
        <v>325</v>
      </c>
      <c r="D327" s="117">
        <v>0.005</v>
      </c>
      <c r="E327" s="17">
        <f>D327+'Табл.1 Текущий дефицит'!D327</f>
        <v>0.865</v>
      </c>
      <c r="F327" s="13">
        <v>0.26</v>
      </c>
      <c r="G327" s="14">
        <v>120</v>
      </c>
      <c r="H327" s="13">
        <f t="shared" si="21"/>
        <v>0.605</v>
      </c>
      <c r="I327" s="14">
        <v>0</v>
      </c>
      <c r="J327" s="13">
        <f>1.05*2.5</f>
        <v>2.625</v>
      </c>
      <c r="K327" s="13">
        <f t="shared" si="22"/>
        <v>2.02</v>
      </c>
      <c r="L327" s="13">
        <f t="shared" si="23"/>
        <v>2.02</v>
      </c>
      <c r="M327" s="23" t="s">
        <v>362</v>
      </c>
    </row>
    <row r="328" spans="1:13" ht="15">
      <c r="A328" s="42">
        <v>86</v>
      </c>
      <c r="B328" s="76" t="s">
        <v>242</v>
      </c>
      <c r="C328" s="43" t="s">
        <v>329</v>
      </c>
      <c r="D328" s="117">
        <v>0.01</v>
      </c>
      <c r="E328" s="17">
        <f>D328+'Табл.1 Текущий дефицит'!D328</f>
        <v>10.4</v>
      </c>
      <c r="F328" s="13">
        <v>2.5</v>
      </c>
      <c r="G328" s="14">
        <v>0</v>
      </c>
      <c r="H328" s="13">
        <f t="shared" si="21"/>
        <v>7.9</v>
      </c>
      <c r="I328" s="14">
        <v>0</v>
      </c>
      <c r="J328" s="13">
        <f>1.05*10</f>
        <v>10.5</v>
      </c>
      <c r="K328" s="13">
        <f t="shared" si="22"/>
        <v>2.5999999999999996</v>
      </c>
      <c r="L328" s="13">
        <f t="shared" si="23"/>
        <v>2.5999999999999996</v>
      </c>
      <c r="M328" s="23" t="s">
        <v>362</v>
      </c>
    </row>
    <row r="329" spans="1:13" ht="28.5">
      <c r="A329" s="42">
        <v>87</v>
      </c>
      <c r="B329" s="76" t="s">
        <v>243</v>
      </c>
      <c r="C329" s="43" t="s">
        <v>335</v>
      </c>
      <c r="D329" s="117">
        <v>0.673</v>
      </c>
      <c r="E329" s="17">
        <f>D329+'Табл.1 Текущий дефицит'!D329</f>
        <v>1.653</v>
      </c>
      <c r="F329" s="13">
        <v>1.67</v>
      </c>
      <c r="G329" s="14">
        <v>0</v>
      </c>
      <c r="H329" s="13">
        <f t="shared" si="21"/>
        <v>-0.016999999999999904</v>
      </c>
      <c r="I329" s="14">
        <v>0</v>
      </c>
      <c r="J329" s="13">
        <f>1.05*4</f>
        <v>4.2</v>
      </c>
      <c r="K329" s="13">
        <f t="shared" si="22"/>
        <v>4.2170000000000005</v>
      </c>
      <c r="L329" s="13">
        <f t="shared" si="23"/>
        <v>4.2170000000000005</v>
      </c>
      <c r="M329" s="23" t="s">
        <v>362</v>
      </c>
    </row>
    <row r="330" spans="1:13" ht="15">
      <c r="A330" s="42">
        <v>88</v>
      </c>
      <c r="B330" s="76" t="s">
        <v>244</v>
      </c>
      <c r="C330" s="43" t="s">
        <v>334</v>
      </c>
      <c r="D330" s="117">
        <v>0.252</v>
      </c>
      <c r="E330" s="17">
        <f>D330+'Табл.1 Текущий дефицит'!D330</f>
        <v>1.1520000000000001</v>
      </c>
      <c r="F330" s="13">
        <v>0.93</v>
      </c>
      <c r="G330" s="14">
        <v>45</v>
      </c>
      <c r="H330" s="13">
        <f t="shared" si="21"/>
        <v>0.2220000000000001</v>
      </c>
      <c r="I330" s="14">
        <v>0</v>
      </c>
      <c r="J330" s="13">
        <f>1.05*1.6</f>
        <v>1.6800000000000002</v>
      </c>
      <c r="K330" s="13">
        <f t="shared" si="22"/>
        <v>1.4580000000000002</v>
      </c>
      <c r="L330" s="13">
        <f t="shared" si="23"/>
        <v>1.4580000000000002</v>
      </c>
      <c r="M330" s="23" t="s">
        <v>362</v>
      </c>
    </row>
    <row r="331" spans="1:13" ht="15">
      <c r="A331" s="42">
        <v>89</v>
      </c>
      <c r="B331" s="76" t="s">
        <v>245</v>
      </c>
      <c r="C331" s="43" t="s">
        <v>324</v>
      </c>
      <c r="D331" s="117">
        <v>0.26180000000000003</v>
      </c>
      <c r="E331" s="17">
        <f>D331+'Табл.1 Текущий дефицит'!D331</f>
        <v>2.5518</v>
      </c>
      <c r="F331" s="13">
        <v>2.69</v>
      </c>
      <c r="G331" s="14">
        <v>80</v>
      </c>
      <c r="H331" s="13">
        <f t="shared" si="21"/>
        <v>-0.13819999999999988</v>
      </c>
      <c r="I331" s="14">
        <v>0</v>
      </c>
      <c r="J331" s="13">
        <f>1.05*6.3</f>
        <v>6.615</v>
      </c>
      <c r="K331" s="13">
        <f t="shared" si="22"/>
        <v>6.7532</v>
      </c>
      <c r="L331" s="13">
        <f t="shared" si="23"/>
        <v>6.7532</v>
      </c>
      <c r="M331" s="23" t="s">
        <v>362</v>
      </c>
    </row>
    <row r="332" spans="1:13" ht="15">
      <c r="A332" s="42">
        <v>90</v>
      </c>
      <c r="B332" s="76" t="s">
        <v>246</v>
      </c>
      <c r="C332" s="43" t="s">
        <v>340</v>
      </c>
      <c r="D332" s="117">
        <v>0.0034</v>
      </c>
      <c r="E332" s="17">
        <f>D332+'Табл.1 Текущий дефицит'!D332</f>
        <v>0.40340000000000004</v>
      </c>
      <c r="F332" s="13">
        <v>0.5</v>
      </c>
      <c r="G332" s="14">
        <v>120</v>
      </c>
      <c r="H332" s="13">
        <f t="shared" si="21"/>
        <v>-0.09659999999999996</v>
      </c>
      <c r="I332" s="14">
        <v>0</v>
      </c>
      <c r="J332" s="13">
        <f>1.05*1.8</f>
        <v>1.8900000000000001</v>
      </c>
      <c r="K332" s="13">
        <f t="shared" si="22"/>
        <v>1.9866000000000001</v>
      </c>
      <c r="L332" s="13">
        <f t="shared" si="23"/>
        <v>1.9866000000000001</v>
      </c>
      <c r="M332" s="23" t="s">
        <v>362</v>
      </c>
    </row>
    <row r="333" spans="1:13" ht="15">
      <c r="A333" s="42">
        <v>91</v>
      </c>
      <c r="B333" s="76" t="s">
        <v>80</v>
      </c>
      <c r="C333" s="43" t="s">
        <v>339</v>
      </c>
      <c r="D333" s="117">
        <v>0.015</v>
      </c>
      <c r="E333" s="17">
        <f>D333+'Табл.1 Текущий дефицит'!D333</f>
        <v>0.34500000000000003</v>
      </c>
      <c r="F333" s="13">
        <v>0.52</v>
      </c>
      <c r="G333" s="14">
        <v>120</v>
      </c>
      <c r="H333" s="13">
        <f t="shared" si="21"/>
        <v>-0.175</v>
      </c>
      <c r="I333" s="14">
        <v>0</v>
      </c>
      <c r="J333" s="13">
        <f>1.05*1.6</f>
        <v>1.6800000000000002</v>
      </c>
      <c r="K333" s="13">
        <f t="shared" si="22"/>
        <v>1.8550000000000002</v>
      </c>
      <c r="L333" s="13">
        <f t="shared" si="23"/>
        <v>1.8550000000000002</v>
      </c>
      <c r="M333" s="23" t="s">
        <v>362</v>
      </c>
    </row>
    <row r="334" spans="1:13" s="114" customFormat="1" ht="15">
      <c r="A334" s="42">
        <v>92</v>
      </c>
      <c r="B334" s="78" t="s">
        <v>247</v>
      </c>
      <c r="C334" s="52" t="s">
        <v>329</v>
      </c>
      <c r="D334" s="117">
        <v>0.409</v>
      </c>
      <c r="E334" s="17">
        <f>D334+'Табл.1 Текущий дефицит'!D334</f>
        <v>10.189</v>
      </c>
      <c r="F334" s="17">
        <v>6.25</v>
      </c>
      <c r="G334" s="48">
        <v>20</v>
      </c>
      <c r="H334" s="17">
        <f t="shared" si="21"/>
        <v>3.939</v>
      </c>
      <c r="I334" s="48">
        <v>0</v>
      </c>
      <c r="J334" s="17">
        <f>1.05*10</f>
        <v>10.5</v>
      </c>
      <c r="K334" s="17">
        <f t="shared" si="22"/>
        <v>6.561</v>
      </c>
      <c r="L334" s="17">
        <f t="shared" si="23"/>
        <v>6.561</v>
      </c>
      <c r="M334" s="23" t="s">
        <v>362</v>
      </c>
    </row>
    <row r="335" spans="1:13" ht="42.75">
      <c r="A335" s="42">
        <v>93</v>
      </c>
      <c r="B335" s="76" t="s">
        <v>248</v>
      </c>
      <c r="C335" s="43" t="s">
        <v>324</v>
      </c>
      <c r="D335" s="117">
        <v>0.269</v>
      </c>
      <c r="E335" s="17">
        <f>D335+'Табл.1 Текущий дефицит'!D335</f>
        <v>3.369</v>
      </c>
      <c r="F335" s="17">
        <v>0.21</v>
      </c>
      <c r="G335" s="14">
        <v>120</v>
      </c>
      <c r="H335" s="13">
        <f t="shared" si="21"/>
        <v>3.1590000000000003</v>
      </c>
      <c r="I335" s="14">
        <v>0</v>
      </c>
      <c r="J335" s="13">
        <f>1.05*6.3</f>
        <v>6.615</v>
      </c>
      <c r="K335" s="13">
        <f t="shared" si="22"/>
        <v>3.456</v>
      </c>
      <c r="L335" s="17">
        <f t="shared" si="23"/>
        <v>3.456</v>
      </c>
      <c r="M335" s="23" t="s">
        <v>362</v>
      </c>
    </row>
    <row r="336" spans="1:13" ht="28.5">
      <c r="A336" s="42">
        <v>94</v>
      </c>
      <c r="B336" s="76" t="s">
        <v>249</v>
      </c>
      <c r="C336" s="43" t="s">
        <v>341</v>
      </c>
      <c r="D336" s="117">
        <v>0.518</v>
      </c>
      <c r="E336" s="17">
        <f>D336+'Табл.1 Текущий дефицит'!D336</f>
        <v>2.708</v>
      </c>
      <c r="F336" s="17">
        <v>1.14</v>
      </c>
      <c r="G336" s="14">
        <v>80</v>
      </c>
      <c r="H336" s="13">
        <f t="shared" si="21"/>
        <v>1.5680000000000003</v>
      </c>
      <c r="I336" s="14">
        <v>0</v>
      </c>
      <c r="J336" s="13">
        <f>1.05*3.2</f>
        <v>3.3600000000000003</v>
      </c>
      <c r="K336" s="13">
        <f t="shared" si="22"/>
        <v>1.792</v>
      </c>
      <c r="L336" s="17">
        <f t="shared" si="23"/>
        <v>1.792</v>
      </c>
      <c r="M336" s="23" t="s">
        <v>362</v>
      </c>
    </row>
    <row r="337" spans="1:13" s="114" customFormat="1" ht="15">
      <c r="A337" s="128">
        <v>95</v>
      </c>
      <c r="B337" s="82" t="s">
        <v>250</v>
      </c>
      <c r="C337" s="83" t="s">
        <v>342</v>
      </c>
      <c r="D337" s="116">
        <v>2.05</v>
      </c>
      <c r="E337" s="127">
        <f>D337+'Табл.1 Текущий дефицит'!D337</f>
        <v>6.3999999999999995</v>
      </c>
      <c r="F337" s="126">
        <v>1.56</v>
      </c>
      <c r="G337" s="124">
        <v>80</v>
      </c>
      <c r="H337" s="122">
        <f t="shared" si="21"/>
        <v>4.84</v>
      </c>
      <c r="I337" s="124">
        <v>0</v>
      </c>
      <c r="J337" s="122">
        <f>1.05*4</f>
        <v>4.2</v>
      </c>
      <c r="K337" s="122">
        <f t="shared" si="22"/>
        <v>-0.6399999999999997</v>
      </c>
      <c r="L337" s="122">
        <f t="shared" si="23"/>
        <v>-0.6399999999999997</v>
      </c>
      <c r="M337" s="123" t="s">
        <v>363</v>
      </c>
    </row>
    <row r="338" spans="1:13" ht="15">
      <c r="A338" s="42">
        <v>96</v>
      </c>
      <c r="B338" s="76" t="s">
        <v>251</v>
      </c>
      <c r="C338" s="43" t="s">
        <v>337</v>
      </c>
      <c r="D338" s="117">
        <v>0.023</v>
      </c>
      <c r="E338" s="17">
        <f>D338+'Табл.1 Текущий дефицит'!D338</f>
        <v>0.643</v>
      </c>
      <c r="F338" s="13">
        <v>0.24</v>
      </c>
      <c r="G338" s="14">
        <v>120</v>
      </c>
      <c r="H338" s="13">
        <f t="shared" si="21"/>
        <v>0.403</v>
      </c>
      <c r="I338" s="14">
        <v>0</v>
      </c>
      <c r="J338" s="13">
        <f>1.05*2.5</f>
        <v>2.625</v>
      </c>
      <c r="K338" s="13">
        <f t="shared" si="22"/>
        <v>2.222</v>
      </c>
      <c r="L338" s="13">
        <f t="shared" si="23"/>
        <v>2.222</v>
      </c>
      <c r="M338" s="23" t="s">
        <v>362</v>
      </c>
    </row>
    <row r="339" spans="1:13" ht="15">
      <c r="A339" s="42">
        <v>97</v>
      </c>
      <c r="B339" s="76" t="s">
        <v>252</v>
      </c>
      <c r="C339" s="43" t="s">
        <v>340</v>
      </c>
      <c r="D339" s="117">
        <v>0.367</v>
      </c>
      <c r="E339" s="17">
        <f>D339+'Табл.1 Текущий дефицит'!D339</f>
        <v>1.867</v>
      </c>
      <c r="F339" s="13">
        <v>0.42</v>
      </c>
      <c r="G339" s="14">
        <v>120</v>
      </c>
      <c r="H339" s="13">
        <f t="shared" si="21"/>
        <v>1.447</v>
      </c>
      <c r="I339" s="14">
        <v>0</v>
      </c>
      <c r="J339" s="13">
        <f>1.05*1.8</f>
        <v>1.8900000000000001</v>
      </c>
      <c r="K339" s="13">
        <f t="shared" si="22"/>
        <v>0.44300000000000006</v>
      </c>
      <c r="L339" s="13">
        <f t="shared" si="23"/>
        <v>0.44300000000000006</v>
      </c>
      <c r="M339" s="23" t="s">
        <v>362</v>
      </c>
    </row>
    <row r="340" spans="1:13" ht="15">
      <c r="A340" s="42">
        <v>98</v>
      </c>
      <c r="B340" s="76" t="s">
        <v>253</v>
      </c>
      <c r="C340" s="43" t="s">
        <v>325</v>
      </c>
      <c r="D340" s="117">
        <v>0.981</v>
      </c>
      <c r="E340" s="17">
        <f>D340+'Табл.1 Текущий дефицит'!D340</f>
        <v>1.841</v>
      </c>
      <c r="F340" s="13">
        <v>0.6</v>
      </c>
      <c r="G340" s="14">
        <v>120</v>
      </c>
      <c r="H340" s="13">
        <f t="shared" si="21"/>
        <v>1.241</v>
      </c>
      <c r="I340" s="14">
        <v>0</v>
      </c>
      <c r="J340" s="13">
        <f>1.05*2.5</f>
        <v>2.625</v>
      </c>
      <c r="K340" s="13">
        <f t="shared" si="22"/>
        <v>1.384</v>
      </c>
      <c r="L340" s="13">
        <f t="shared" si="23"/>
        <v>1.384</v>
      </c>
      <c r="M340" s="23" t="s">
        <v>362</v>
      </c>
    </row>
    <row r="341" spans="1:13" ht="28.5">
      <c r="A341" s="42">
        <v>99</v>
      </c>
      <c r="B341" s="76" t="s">
        <v>254</v>
      </c>
      <c r="C341" s="43" t="s">
        <v>325</v>
      </c>
      <c r="D341" s="117">
        <v>0.008</v>
      </c>
      <c r="E341" s="17">
        <f>D341+'Табл.1 Текущий дефицит'!D341</f>
        <v>0.14800000000000002</v>
      </c>
      <c r="F341" s="13">
        <v>0.17</v>
      </c>
      <c r="G341" s="14">
        <v>120</v>
      </c>
      <c r="H341" s="13">
        <f t="shared" si="21"/>
        <v>-0.021999999999999992</v>
      </c>
      <c r="I341" s="14">
        <v>0</v>
      </c>
      <c r="J341" s="13">
        <f>1.05*2.5</f>
        <v>2.625</v>
      </c>
      <c r="K341" s="13">
        <f t="shared" si="22"/>
        <v>2.647</v>
      </c>
      <c r="L341" s="13">
        <f t="shared" si="23"/>
        <v>2.647</v>
      </c>
      <c r="M341" s="23" t="s">
        <v>362</v>
      </c>
    </row>
    <row r="342" spans="1:13" ht="15">
      <c r="A342" s="42">
        <v>100</v>
      </c>
      <c r="B342" s="76" t="s">
        <v>255</v>
      </c>
      <c r="C342" s="43" t="s">
        <v>329</v>
      </c>
      <c r="D342" s="117">
        <v>0.005</v>
      </c>
      <c r="E342" s="17">
        <f>D342+'Табл.1 Текущий дефицит'!D342</f>
        <v>4.5249999999999995</v>
      </c>
      <c r="F342" s="13">
        <v>4.5</v>
      </c>
      <c r="G342" s="14">
        <v>80</v>
      </c>
      <c r="H342" s="13">
        <f t="shared" si="21"/>
        <v>0.024999999999999467</v>
      </c>
      <c r="I342" s="14">
        <v>0</v>
      </c>
      <c r="J342" s="13">
        <f>1.05*10</f>
        <v>10.5</v>
      </c>
      <c r="K342" s="13">
        <f t="shared" si="22"/>
        <v>10.475000000000001</v>
      </c>
      <c r="L342" s="13">
        <f t="shared" si="23"/>
        <v>10.475000000000001</v>
      </c>
      <c r="M342" s="23" t="s">
        <v>362</v>
      </c>
    </row>
    <row r="343" spans="1:13" ht="15">
      <c r="A343" s="42">
        <v>101</v>
      </c>
      <c r="B343" s="76" t="s">
        <v>256</v>
      </c>
      <c r="C343" s="43" t="s">
        <v>325</v>
      </c>
      <c r="D343" s="117">
        <v>0.009</v>
      </c>
      <c r="E343" s="17">
        <f>D343+'Табл.1 Текущий дефицит'!D343</f>
        <v>0.089</v>
      </c>
      <c r="F343" s="13">
        <v>0.05</v>
      </c>
      <c r="G343" s="14">
        <v>120</v>
      </c>
      <c r="H343" s="13">
        <f t="shared" si="21"/>
        <v>0.03899999999999999</v>
      </c>
      <c r="I343" s="14">
        <v>0</v>
      </c>
      <c r="J343" s="13">
        <f>1.05*2.5</f>
        <v>2.625</v>
      </c>
      <c r="K343" s="13">
        <f t="shared" si="22"/>
        <v>2.586</v>
      </c>
      <c r="L343" s="13">
        <f t="shared" si="23"/>
        <v>2.586</v>
      </c>
      <c r="M343" s="23" t="s">
        <v>362</v>
      </c>
    </row>
    <row r="344" spans="1:13" ht="15">
      <c r="A344" s="42">
        <v>102</v>
      </c>
      <c r="B344" s="76" t="s">
        <v>257</v>
      </c>
      <c r="C344" s="43" t="s">
        <v>325</v>
      </c>
      <c r="D344" s="117">
        <v>1.129</v>
      </c>
      <c r="E344" s="17">
        <f>D344+'Табл.1 Текущий дефицит'!D344</f>
        <v>1.359</v>
      </c>
      <c r="F344" s="13">
        <v>0.25</v>
      </c>
      <c r="G344" s="14">
        <v>120</v>
      </c>
      <c r="H344" s="13">
        <f t="shared" si="21"/>
        <v>1.109</v>
      </c>
      <c r="I344" s="14">
        <v>0</v>
      </c>
      <c r="J344" s="13">
        <f>1.05*2.5</f>
        <v>2.625</v>
      </c>
      <c r="K344" s="13">
        <f t="shared" si="22"/>
        <v>1.516</v>
      </c>
      <c r="L344" s="13">
        <f t="shared" si="23"/>
        <v>1.516</v>
      </c>
      <c r="M344" s="23" t="s">
        <v>362</v>
      </c>
    </row>
    <row r="345" spans="1:13" ht="15">
      <c r="A345" s="42">
        <v>103</v>
      </c>
      <c r="B345" s="76" t="s">
        <v>258</v>
      </c>
      <c r="C345" s="43" t="s">
        <v>324</v>
      </c>
      <c r="D345" s="117">
        <v>0.9645</v>
      </c>
      <c r="E345" s="17">
        <f>D345+'Табл.1 Текущий дефицит'!D345</f>
        <v>3.9945</v>
      </c>
      <c r="F345" s="13">
        <v>0.23</v>
      </c>
      <c r="G345" s="14">
        <v>120</v>
      </c>
      <c r="H345" s="13">
        <f t="shared" si="21"/>
        <v>3.7645</v>
      </c>
      <c r="I345" s="14">
        <v>0</v>
      </c>
      <c r="J345" s="13">
        <f>1.05*6.3</f>
        <v>6.615</v>
      </c>
      <c r="K345" s="13">
        <f t="shared" si="22"/>
        <v>2.8505000000000003</v>
      </c>
      <c r="L345" s="13">
        <f t="shared" si="23"/>
        <v>2.8505000000000003</v>
      </c>
      <c r="M345" s="23" t="s">
        <v>362</v>
      </c>
    </row>
    <row r="346" spans="1:13" ht="28.5">
      <c r="A346" s="42">
        <v>104</v>
      </c>
      <c r="B346" s="76" t="s">
        <v>259</v>
      </c>
      <c r="C346" s="43" t="s">
        <v>335</v>
      </c>
      <c r="D346" s="117">
        <v>0.101</v>
      </c>
      <c r="E346" s="17">
        <f>D346+'Табл.1 Текущий дефицит'!D346</f>
        <v>0.851</v>
      </c>
      <c r="F346" s="13">
        <v>1.59</v>
      </c>
      <c r="G346" s="14">
        <v>80</v>
      </c>
      <c r="H346" s="13">
        <f aca="true" t="shared" si="24" ref="H346:H395">E346-F346</f>
        <v>-0.7390000000000001</v>
      </c>
      <c r="I346" s="14">
        <v>0</v>
      </c>
      <c r="J346" s="13">
        <f>1.05*4</f>
        <v>4.2</v>
      </c>
      <c r="K346" s="13">
        <f t="shared" si="22"/>
        <v>4.939</v>
      </c>
      <c r="L346" s="13">
        <f t="shared" si="23"/>
        <v>4.939</v>
      </c>
      <c r="M346" s="23" t="s">
        <v>362</v>
      </c>
    </row>
    <row r="347" spans="1:13" ht="15">
      <c r="A347" s="42">
        <v>105</v>
      </c>
      <c r="B347" s="76" t="s">
        <v>260</v>
      </c>
      <c r="C347" s="43" t="s">
        <v>325</v>
      </c>
      <c r="D347" s="117">
        <v>0.032</v>
      </c>
      <c r="E347" s="17">
        <f>D347+'Табл.1 Текущий дефицит'!D347</f>
        <v>0.682</v>
      </c>
      <c r="F347" s="13">
        <v>0.08</v>
      </c>
      <c r="G347" s="14">
        <v>120</v>
      </c>
      <c r="H347" s="13">
        <f t="shared" si="24"/>
        <v>0.6020000000000001</v>
      </c>
      <c r="I347" s="14">
        <v>0</v>
      </c>
      <c r="J347" s="13">
        <f>1.05*2.5</f>
        <v>2.625</v>
      </c>
      <c r="K347" s="13">
        <f aca="true" t="shared" si="25" ref="K347:K395">J347-I347-H347</f>
        <v>2.0229999999999997</v>
      </c>
      <c r="L347" s="13">
        <f t="shared" si="23"/>
        <v>2.0229999999999997</v>
      </c>
      <c r="M347" s="23" t="s">
        <v>362</v>
      </c>
    </row>
    <row r="348" spans="1:13" ht="15">
      <c r="A348" s="42">
        <v>106</v>
      </c>
      <c r="B348" s="76" t="s">
        <v>261</v>
      </c>
      <c r="C348" s="43" t="s">
        <v>325</v>
      </c>
      <c r="D348" s="117">
        <v>0.005</v>
      </c>
      <c r="E348" s="17">
        <f>D348+'Табл.1 Текущий дефицит'!D348</f>
        <v>0.505</v>
      </c>
      <c r="F348" s="13">
        <v>0.3</v>
      </c>
      <c r="G348" s="14">
        <v>120</v>
      </c>
      <c r="H348" s="13">
        <f t="shared" si="24"/>
        <v>0.20500000000000002</v>
      </c>
      <c r="I348" s="14">
        <v>0</v>
      </c>
      <c r="J348" s="13">
        <f>1.05*2.5</f>
        <v>2.625</v>
      </c>
      <c r="K348" s="13">
        <f t="shared" si="25"/>
        <v>2.42</v>
      </c>
      <c r="L348" s="13">
        <f t="shared" si="23"/>
        <v>2.42</v>
      </c>
      <c r="M348" s="23" t="s">
        <v>362</v>
      </c>
    </row>
    <row r="349" spans="1:13" ht="28.5">
      <c r="A349" s="42">
        <v>107</v>
      </c>
      <c r="B349" s="76" t="s">
        <v>262</v>
      </c>
      <c r="C349" s="43" t="s">
        <v>342</v>
      </c>
      <c r="D349" s="117">
        <v>0.3683</v>
      </c>
      <c r="E349" s="17">
        <f>D349+'Табл.1 Текущий дефицит'!D349</f>
        <v>1.8683</v>
      </c>
      <c r="F349" s="13">
        <v>1.7</v>
      </c>
      <c r="G349" s="14">
        <v>80</v>
      </c>
      <c r="H349" s="13">
        <f t="shared" si="24"/>
        <v>0.16830000000000012</v>
      </c>
      <c r="I349" s="14">
        <v>0</v>
      </c>
      <c r="J349" s="13">
        <f>1.05*4</f>
        <v>4.2</v>
      </c>
      <c r="K349" s="13">
        <f t="shared" si="25"/>
        <v>4.0317</v>
      </c>
      <c r="L349" s="13">
        <f t="shared" si="23"/>
        <v>4.0317</v>
      </c>
      <c r="M349" s="23" t="s">
        <v>362</v>
      </c>
    </row>
    <row r="350" spans="1:13" ht="15">
      <c r="A350" s="42">
        <v>108</v>
      </c>
      <c r="B350" s="76" t="s">
        <v>263</v>
      </c>
      <c r="C350" s="43" t="s">
        <v>335</v>
      </c>
      <c r="D350" s="117">
        <v>0.42600000000000005</v>
      </c>
      <c r="E350" s="17">
        <f>D350+'Табл.1 Текущий дефицит'!D350</f>
        <v>1.296</v>
      </c>
      <c r="F350" s="13">
        <v>0.3</v>
      </c>
      <c r="G350" s="14">
        <v>120</v>
      </c>
      <c r="H350" s="13">
        <f t="shared" si="24"/>
        <v>0.996</v>
      </c>
      <c r="I350" s="14">
        <v>0</v>
      </c>
      <c r="J350" s="13">
        <f>1.05*4</f>
        <v>4.2</v>
      </c>
      <c r="K350" s="13">
        <f t="shared" si="25"/>
        <v>3.204</v>
      </c>
      <c r="L350" s="13">
        <f t="shared" si="23"/>
        <v>3.204</v>
      </c>
      <c r="M350" s="23" t="s">
        <v>362</v>
      </c>
    </row>
    <row r="351" spans="1:13" ht="15">
      <c r="A351" s="42">
        <v>109</v>
      </c>
      <c r="B351" s="76" t="s">
        <v>264</v>
      </c>
      <c r="C351" s="43" t="s">
        <v>325</v>
      </c>
      <c r="D351" s="117">
        <v>0.08532000000000002</v>
      </c>
      <c r="E351" s="17">
        <f>D351+'Табл.1 Текущий дефицит'!D351</f>
        <v>0.5953200000000001</v>
      </c>
      <c r="F351" s="13">
        <v>0.63</v>
      </c>
      <c r="G351" s="14">
        <v>120</v>
      </c>
      <c r="H351" s="13">
        <f t="shared" si="24"/>
        <v>-0.03467999999999993</v>
      </c>
      <c r="I351" s="14">
        <v>0</v>
      </c>
      <c r="J351" s="13">
        <f>1.05*2.5</f>
        <v>2.625</v>
      </c>
      <c r="K351" s="13">
        <f t="shared" si="25"/>
        <v>2.65968</v>
      </c>
      <c r="L351" s="13">
        <f t="shared" si="23"/>
        <v>2.65968</v>
      </c>
      <c r="M351" s="23" t="s">
        <v>362</v>
      </c>
    </row>
    <row r="352" spans="1:13" ht="15">
      <c r="A352" s="42">
        <v>110</v>
      </c>
      <c r="B352" s="76" t="s">
        <v>265</v>
      </c>
      <c r="C352" s="43" t="s">
        <v>343</v>
      </c>
      <c r="D352" s="117">
        <v>0.007</v>
      </c>
      <c r="E352" s="17">
        <f>D352+'Табл.1 Текущий дефицит'!D352</f>
        <v>0.427</v>
      </c>
      <c r="F352" s="13">
        <v>0.03</v>
      </c>
      <c r="G352" s="14">
        <v>80</v>
      </c>
      <c r="H352" s="13">
        <f t="shared" si="24"/>
        <v>0.397</v>
      </c>
      <c r="I352" s="14">
        <v>0</v>
      </c>
      <c r="J352" s="13">
        <f>1.05*1.6</f>
        <v>1.6800000000000002</v>
      </c>
      <c r="K352" s="13">
        <f t="shared" si="25"/>
        <v>1.2830000000000001</v>
      </c>
      <c r="L352" s="13">
        <f t="shared" si="23"/>
        <v>1.2830000000000001</v>
      </c>
      <c r="M352" s="23" t="s">
        <v>362</v>
      </c>
    </row>
    <row r="353" spans="1:13" ht="15">
      <c r="A353" s="42">
        <v>111</v>
      </c>
      <c r="B353" s="76" t="s">
        <v>266</v>
      </c>
      <c r="C353" s="43" t="s">
        <v>325</v>
      </c>
      <c r="D353" s="117">
        <v>0.38</v>
      </c>
      <c r="E353" s="17">
        <f>D353+'Табл.1 Текущий дефицит'!D353</f>
        <v>1.58</v>
      </c>
      <c r="F353" s="13">
        <v>0.4</v>
      </c>
      <c r="G353" s="14">
        <v>120</v>
      </c>
      <c r="H353" s="13">
        <f t="shared" si="24"/>
        <v>1.1800000000000002</v>
      </c>
      <c r="I353" s="14">
        <v>0</v>
      </c>
      <c r="J353" s="13">
        <f>1.05*2.5</f>
        <v>2.625</v>
      </c>
      <c r="K353" s="13">
        <f t="shared" si="25"/>
        <v>1.4449999999999998</v>
      </c>
      <c r="L353" s="13">
        <f t="shared" si="23"/>
        <v>1.4449999999999998</v>
      </c>
      <c r="M353" s="23" t="s">
        <v>362</v>
      </c>
    </row>
    <row r="354" spans="1:13" ht="15">
      <c r="A354" s="42">
        <v>112</v>
      </c>
      <c r="B354" s="76" t="s">
        <v>267</v>
      </c>
      <c r="C354" s="43" t="s">
        <v>325</v>
      </c>
      <c r="D354" s="117">
        <v>0.08299999999999999</v>
      </c>
      <c r="E354" s="17">
        <f>D354+'Табл.1 Текущий дефицит'!D354</f>
        <v>0.643</v>
      </c>
      <c r="F354" s="13">
        <v>0.19</v>
      </c>
      <c r="G354" s="14">
        <v>120</v>
      </c>
      <c r="H354" s="13">
        <f t="shared" si="24"/>
        <v>0.453</v>
      </c>
      <c r="I354" s="14">
        <v>0</v>
      </c>
      <c r="J354" s="13">
        <f>1.05*2.5</f>
        <v>2.625</v>
      </c>
      <c r="K354" s="13">
        <f t="shared" si="25"/>
        <v>2.172</v>
      </c>
      <c r="L354" s="13">
        <f t="shared" si="23"/>
        <v>2.172</v>
      </c>
      <c r="M354" s="23" t="s">
        <v>362</v>
      </c>
    </row>
    <row r="355" spans="1:13" ht="15">
      <c r="A355" s="42">
        <v>113</v>
      </c>
      <c r="B355" s="76" t="s">
        <v>268</v>
      </c>
      <c r="C355" s="43" t="s">
        <v>325</v>
      </c>
      <c r="D355" s="117">
        <v>2.574</v>
      </c>
      <c r="E355" s="17">
        <f>D355+'Табл.1 Текущий дефицит'!D355</f>
        <v>2.7439999999999998</v>
      </c>
      <c r="F355" s="17">
        <v>0.52</v>
      </c>
      <c r="G355" s="14">
        <v>120</v>
      </c>
      <c r="H355" s="13">
        <f t="shared" si="24"/>
        <v>2.2239999999999998</v>
      </c>
      <c r="I355" s="14">
        <v>0</v>
      </c>
      <c r="J355" s="13">
        <f>1.05*2.5</f>
        <v>2.625</v>
      </c>
      <c r="K355" s="13">
        <f t="shared" si="25"/>
        <v>0.40100000000000025</v>
      </c>
      <c r="L355" s="17">
        <f t="shared" si="23"/>
        <v>0.40100000000000025</v>
      </c>
      <c r="M355" s="23" t="s">
        <v>362</v>
      </c>
    </row>
    <row r="356" spans="1:13" ht="15">
      <c r="A356" s="42">
        <v>114</v>
      </c>
      <c r="B356" s="76" t="s">
        <v>269</v>
      </c>
      <c r="C356" s="43" t="s">
        <v>325</v>
      </c>
      <c r="D356" s="117">
        <v>0.14</v>
      </c>
      <c r="E356" s="17">
        <f>D356+'Табл.1 Текущий дефицит'!D356</f>
        <v>0.32</v>
      </c>
      <c r="F356" s="13">
        <v>0.2</v>
      </c>
      <c r="G356" s="14">
        <v>120</v>
      </c>
      <c r="H356" s="13">
        <f t="shared" si="24"/>
        <v>0.12</v>
      </c>
      <c r="I356" s="14">
        <v>0</v>
      </c>
      <c r="J356" s="13">
        <f>1.05*2.5</f>
        <v>2.625</v>
      </c>
      <c r="K356" s="13">
        <f t="shared" si="25"/>
        <v>2.505</v>
      </c>
      <c r="L356" s="13">
        <f t="shared" si="23"/>
        <v>2.505</v>
      </c>
      <c r="M356" s="23" t="s">
        <v>362</v>
      </c>
    </row>
    <row r="357" spans="1:13" ht="15">
      <c r="A357" s="42">
        <v>115</v>
      </c>
      <c r="B357" s="76" t="s">
        <v>270</v>
      </c>
      <c r="C357" s="43" t="s">
        <v>342</v>
      </c>
      <c r="D357" s="117">
        <v>0.27999999999999997</v>
      </c>
      <c r="E357" s="17">
        <f>D357+'Табл.1 Текущий дефицит'!D357</f>
        <v>1.54</v>
      </c>
      <c r="F357" s="13">
        <v>0.74</v>
      </c>
      <c r="G357" s="14">
        <v>120</v>
      </c>
      <c r="H357" s="13">
        <f t="shared" si="24"/>
        <v>0.8</v>
      </c>
      <c r="I357" s="14">
        <v>0</v>
      </c>
      <c r="J357" s="13">
        <f>1.05*4</f>
        <v>4.2</v>
      </c>
      <c r="K357" s="13">
        <f t="shared" si="25"/>
        <v>3.4000000000000004</v>
      </c>
      <c r="L357" s="13">
        <f t="shared" si="23"/>
        <v>3.4000000000000004</v>
      </c>
      <c r="M357" s="23" t="s">
        <v>362</v>
      </c>
    </row>
    <row r="358" spans="1:13" ht="15">
      <c r="A358" s="42">
        <v>116</v>
      </c>
      <c r="B358" s="76" t="s">
        <v>271</v>
      </c>
      <c r="C358" s="43" t="s">
        <v>325</v>
      </c>
      <c r="D358" s="117">
        <v>0.05</v>
      </c>
      <c r="E358" s="17">
        <f>D358+'Табл.1 Текущий дефицит'!D358</f>
        <v>0.33</v>
      </c>
      <c r="F358" s="13">
        <v>0.11</v>
      </c>
      <c r="G358" s="14">
        <v>80</v>
      </c>
      <c r="H358" s="13">
        <f t="shared" si="24"/>
        <v>0.22000000000000003</v>
      </c>
      <c r="I358" s="14">
        <v>0</v>
      </c>
      <c r="J358" s="13">
        <f>1.05*2.5</f>
        <v>2.625</v>
      </c>
      <c r="K358" s="13">
        <f t="shared" si="25"/>
        <v>2.405</v>
      </c>
      <c r="L358" s="13">
        <f t="shared" si="23"/>
        <v>2.405</v>
      </c>
      <c r="M358" s="23" t="s">
        <v>362</v>
      </c>
    </row>
    <row r="359" spans="1:13" ht="28.5">
      <c r="A359" s="42">
        <v>117</v>
      </c>
      <c r="B359" s="76" t="s">
        <v>272</v>
      </c>
      <c r="C359" s="43" t="s">
        <v>344</v>
      </c>
      <c r="D359" s="117">
        <v>0.08499999999999999</v>
      </c>
      <c r="E359" s="17">
        <f>D359+'Табл.1 Текущий дефицит'!D359</f>
        <v>0.705</v>
      </c>
      <c r="F359" s="13">
        <v>0.52</v>
      </c>
      <c r="G359" s="14">
        <v>120</v>
      </c>
      <c r="H359" s="13">
        <f t="shared" si="24"/>
        <v>0.18499999999999994</v>
      </c>
      <c r="I359" s="14">
        <v>0</v>
      </c>
      <c r="J359" s="13">
        <f>1.05*2.5</f>
        <v>2.625</v>
      </c>
      <c r="K359" s="13">
        <f t="shared" si="25"/>
        <v>2.44</v>
      </c>
      <c r="L359" s="13">
        <f t="shared" si="23"/>
        <v>2.44</v>
      </c>
      <c r="M359" s="23" t="s">
        <v>362</v>
      </c>
    </row>
    <row r="360" spans="1:13" ht="15">
      <c r="A360" s="42">
        <v>118</v>
      </c>
      <c r="B360" s="76" t="s">
        <v>273</v>
      </c>
      <c r="C360" s="43" t="s">
        <v>337</v>
      </c>
      <c r="D360" s="117">
        <v>0.776</v>
      </c>
      <c r="E360" s="17">
        <f>D360+'Табл.1 Текущий дефицит'!D360</f>
        <v>2.386</v>
      </c>
      <c r="F360" s="13">
        <v>0.3</v>
      </c>
      <c r="G360" s="14">
        <v>120</v>
      </c>
      <c r="H360" s="13">
        <f t="shared" si="24"/>
        <v>2.0860000000000003</v>
      </c>
      <c r="I360" s="14">
        <v>0</v>
      </c>
      <c r="J360" s="13">
        <f>1.05*2.5</f>
        <v>2.625</v>
      </c>
      <c r="K360" s="13">
        <f t="shared" si="25"/>
        <v>0.5389999999999997</v>
      </c>
      <c r="L360" s="13">
        <f t="shared" si="23"/>
        <v>0.5389999999999997</v>
      </c>
      <c r="M360" s="23" t="s">
        <v>362</v>
      </c>
    </row>
    <row r="361" spans="1:13" ht="15">
      <c r="A361" s="42">
        <v>119</v>
      </c>
      <c r="B361" s="76" t="s">
        <v>274</v>
      </c>
      <c r="C361" s="43" t="s">
        <v>325</v>
      </c>
      <c r="D361" s="117">
        <v>0.04</v>
      </c>
      <c r="E361" s="17">
        <f>D361+'Табл.1 Текущий дефицит'!D361</f>
        <v>1.42</v>
      </c>
      <c r="F361" s="13">
        <v>0.26</v>
      </c>
      <c r="G361" s="14">
        <v>120</v>
      </c>
      <c r="H361" s="13">
        <f t="shared" si="24"/>
        <v>1.16</v>
      </c>
      <c r="I361" s="14">
        <v>0</v>
      </c>
      <c r="J361" s="13">
        <f>1.05*2.5</f>
        <v>2.625</v>
      </c>
      <c r="K361" s="13">
        <f t="shared" si="25"/>
        <v>1.465</v>
      </c>
      <c r="L361" s="13">
        <f t="shared" si="23"/>
        <v>1.465</v>
      </c>
      <c r="M361" s="23" t="s">
        <v>362</v>
      </c>
    </row>
    <row r="362" spans="1:13" ht="15">
      <c r="A362" s="42">
        <v>120</v>
      </c>
      <c r="B362" s="76" t="s">
        <v>275</v>
      </c>
      <c r="C362" s="43" t="s">
        <v>339</v>
      </c>
      <c r="D362" s="117">
        <v>0.047</v>
      </c>
      <c r="E362" s="17">
        <f>D362+'Табл.1 Текущий дефицит'!D362</f>
        <v>0.237</v>
      </c>
      <c r="F362" s="13">
        <v>0.46</v>
      </c>
      <c r="G362" s="14">
        <v>120</v>
      </c>
      <c r="H362" s="13">
        <f t="shared" si="24"/>
        <v>-0.22300000000000003</v>
      </c>
      <c r="I362" s="14">
        <v>0</v>
      </c>
      <c r="J362" s="13">
        <f>1.05*1.6</f>
        <v>1.6800000000000002</v>
      </c>
      <c r="K362" s="13">
        <f t="shared" si="25"/>
        <v>1.9030000000000002</v>
      </c>
      <c r="L362" s="13">
        <f t="shared" si="23"/>
        <v>1.9030000000000002</v>
      </c>
      <c r="M362" s="23" t="s">
        <v>362</v>
      </c>
    </row>
    <row r="363" spans="1:13" ht="15">
      <c r="A363" s="42">
        <v>121</v>
      </c>
      <c r="B363" s="76" t="s">
        <v>276</v>
      </c>
      <c r="C363" s="43" t="s">
        <v>335</v>
      </c>
      <c r="D363" s="117">
        <v>0.101</v>
      </c>
      <c r="E363" s="17">
        <f>D363+'Табл.1 Текущий дефицит'!D363</f>
        <v>0.601</v>
      </c>
      <c r="F363" s="13">
        <v>1.16</v>
      </c>
      <c r="G363" s="14">
        <v>120</v>
      </c>
      <c r="H363" s="13">
        <f t="shared" si="24"/>
        <v>-0.5589999999999999</v>
      </c>
      <c r="I363" s="14">
        <v>0</v>
      </c>
      <c r="J363" s="13">
        <f>1.05*4</f>
        <v>4.2</v>
      </c>
      <c r="K363" s="13">
        <f t="shared" si="25"/>
        <v>4.759</v>
      </c>
      <c r="L363" s="13">
        <f t="shared" si="23"/>
        <v>4.759</v>
      </c>
      <c r="M363" s="23" t="s">
        <v>362</v>
      </c>
    </row>
    <row r="364" spans="1:13" ht="15">
      <c r="A364" s="42">
        <v>122</v>
      </c>
      <c r="B364" s="76" t="s">
        <v>277</v>
      </c>
      <c r="C364" s="43" t="s">
        <v>324</v>
      </c>
      <c r="D364" s="117"/>
      <c r="E364" s="17">
        <f>D364+'Табл.1 Текущий дефицит'!D364</f>
        <v>0.03</v>
      </c>
      <c r="F364" s="13">
        <v>0.08</v>
      </c>
      <c r="G364" s="14">
        <v>120</v>
      </c>
      <c r="H364" s="13">
        <f t="shared" si="24"/>
        <v>-0.05</v>
      </c>
      <c r="I364" s="14">
        <v>0</v>
      </c>
      <c r="J364" s="13">
        <f>1.05*6.3</f>
        <v>6.615</v>
      </c>
      <c r="K364" s="13">
        <f t="shared" si="25"/>
        <v>6.665</v>
      </c>
      <c r="L364" s="13">
        <f t="shared" si="23"/>
        <v>6.665</v>
      </c>
      <c r="M364" s="23" t="s">
        <v>362</v>
      </c>
    </row>
    <row r="365" spans="1:13" ht="28.5">
      <c r="A365" s="42">
        <v>123</v>
      </c>
      <c r="B365" s="76" t="s">
        <v>278</v>
      </c>
      <c r="C365" s="43" t="s">
        <v>325</v>
      </c>
      <c r="D365" s="117">
        <v>0.339</v>
      </c>
      <c r="E365" s="17">
        <f>D365+'Табл.1 Текущий дефицит'!D365</f>
        <v>1.7289999999999999</v>
      </c>
      <c r="F365" s="13">
        <v>0.3</v>
      </c>
      <c r="G365" s="14">
        <v>80</v>
      </c>
      <c r="H365" s="13">
        <f t="shared" si="24"/>
        <v>1.4289999999999998</v>
      </c>
      <c r="I365" s="14">
        <v>0</v>
      </c>
      <c r="J365" s="13">
        <f>1.05*2.5</f>
        <v>2.625</v>
      </c>
      <c r="K365" s="13">
        <f t="shared" si="25"/>
        <v>1.1960000000000002</v>
      </c>
      <c r="L365" s="13">
        <f t="shared" si="23"/>
        <v>1.1960000000000002</v>
      </c>
      <c r="M365" s="23" t="s">
        <v>362</v>
      </c>
    </row>
    <row r="366" spans="1:13" ht="15">
      <c r="A366" s="42">
        <v>124</v>
      </c>
      <c r="B366" s="76" t="s">
        <v>279</v>
      </c>
      <c r="C366" s="43" t="s">
        <v>339</v>
      </c>
      <c r="D366" s="117"/>
      <c r="E366" s="17">
        <f>D366+'Табл.1 Текущий дефицит'!D366</f>
        <v>0.3</v>
      </c>
      <c r="F366" s="13">
        <v>0.24</v>
      </c>
      <c r="G366" s="14">
        <v>120</v>
      </c>
      <c r="H366" s="13">
        <f t="shared" si="24"/>
        <v>0.06</v>
      </c>
      <c r="I366" s="14">
        <v>0</v>
      </c>
      <c r="J366" s="13">
        <f>1.05*1.6</f>
        <v>1.6800000000000002</v>
      </c>
      <c r="K366" s="13">
        <f t="shared" si="25"/>
        <v>1.62</v>
      </c>
      <c r="L366" s="13">
        <f t="shared" si="23"/>
        <v>1.62</v>
      </c>
      <c r="M366" s="23" t="s">
        <v>362</v>
      </c>
    </row>
    <row r="367" spans="1:13" ht="15">
      <c r="A367" s="42">
        <v>125</v>
      </c>
      <c r="B367" s="76" t="s">
        <v>280</v>
      </c>
      <c r="C367" s="43" t="s">
        <v>345</v>
      </c>
      <c r="D367" s="117">
        <v>0.103</v>
      </c>
      <c r="E367" s="17">
        <f>D367+'Табл.1 Текущий дефицит'!D367</f>
        <v>0.493</v>
      </c>
      <c r="F367" s="13">
        <v>0.43</v>
      </c>
      <c r="G367" s="14">
        <v>120</v>
      </c>
      <c r="H367" s="13">
        <f t="shared" si="24"/>
        <v>0.063</v>
      </c>
      <c r="I367" s="14">
        <v>0</v>
      </c>
      <c r="J367" s="13">
        <f>1.05*1.6</f>
        <v>1.6800000000000002</v>
      </c>
      <c r="K367" s="13">
        <f t="shared" si="25"/>
        <v>1.6170000000000002</v>
      </c>
      <c r="L367" s="13">
        <f t="shared" si="23"/>
        <v>1.6170000000000002</v>
      </c>
      <c r="M367" s="23" t="s">
        <v>362</v>
      </c>
    </row>
    <row r="368" spans="1:13" ht="15">
      <c r="A368" s="42">
        <v>126</v>
      </c>
      <c r="B368" s="76" t="s">
        <v>281</v>
      </c>
      <c r="C368" s="43" t="s">
        <v>325</v>
      </c>
      <c r="D368" s="117">
        <v>0.23200000000000004</v>
      </c>
      <c r="E368" s="17">
        <f>D368+'Табл.1 Текущий дефицит'!D368</f>
        <v>1.002</v>
      </c>
      <c r="F368" s="13">
        <v>0.32</v>
      </c>
      <c r="G368" s="14">
        <v>120</v>
      </c>
      <c r="H368" s="13">
        <f t="shared" si="24"/>
        <v>0.6819999999999999</v>
      </c>
      <c r="I368" s="14">
        <v>0</v>
      </c>
      <c r="J368" s="13">
        <f>1.05*2.5</f>
        <v>2.625</v>
      </c>
      <c r="K368" s="13">
        <f t="shared" si="25"/>
        <v>1.943</v>
      </c>
      <c r="L368" s="13">
        <f t="shared" si="23"/>
        <v>1.943</v>
      </c>
      <c r="M368" s="23" t="s">
        <v>362</v>
      </c>
    </row>
    <row r="369" spans="1:13" ht="15">
      <c r="A369" s="42">
        <v>127</v>
      </c>
      <c r="B369" s="76" t="s">
        <v>282</v>
      </c>
      <c r="C369" s="43" t="s">
        <v>325</v>
      </c>
      <c r="D369" s="117">
        <v>0.597</v>
      </c>
      <c r="E369" s="17">
        <f>D369+'Табл.1 Текущий дефицит'!D369</f>
        <v>0.977</v>
      </c>
      <c r="F369" s="13">
        <v>0.44</v>
      </c>
      <c r="G369" s="14">
        <v>120</v>
      </c>
      <c r="H369" s="13">
        <f t="shared" si="24"/>
        <v>0.5369999999999999</v>
      </c>
      <c r="I369" s="14">
        <v>0</v>
      </c>
      <c r="J369" s="13">
        <f>1.05*2.5</f>
        <v>2.625</v>
      </c>
      <c r="K369" s="13">
        <f t="shared" si="25"/>
        <v>2.088</v>
      </c>
      <c r="L369" s="13">
        <f t="shared" si="23"/>
        <v>2.088</v>
      </c>
      <c r="M369" s="23" t="s">
        <v>362</v>
      </c>
    </row>
    <row r="370" spans="1:13" ht="15">
      <c r="A370" s="42">
        <v>128</v>
      </c>
      <c r="B370" s="76" t="s">
        <v>283</v>
      </c>
      <c r="C370" s="43" t="s">
        <v>335</v>
      </c>
      <c r="D370" s="117">
        <v>0.861</v>
      </c>
      <c r="E370" s="17">
        <f>D370+'Табл.1 Текущий дефицит'!D370</f>
        <v>2.771</v>
      </c>
      <c r="F370" s="13">
        <v>1.03</v>
      </c>
      <c r="G370" s="14">
        <v>120</v>
      </c>
      <c r="H370" s="13">
        <f t="shared" si="24"/>
        <v>1.7409999999999999</v>
      </c>
      <c r="I370" s="14">
        <v>0</v>
      </c>
      <c r="J370" s="13">
        <f>1.05*4</f>
        <v>4.2</v>
      </c>
      <c r="K370" s="13">
        <f t="shared" si="25"/>
        <v>2.4590000000000005</v>
      </c>
      <c r="L370" s="13">
        <f t="shared" si="23"/>
        <v>2.4590000000000005</v>
      </c>
      <c r="M370" s="23" t="s">
        <v>362</v>
      </c>
    </row>
    <row r="371" spans="1:13" ht="15">
      <c r="A371" s="42">
        <v>129</v>
      </c>
      <c r="B371" s="76" t="s">
        <v>284</v>
      </c>
      <c r="C371" s="43" t="s">
        <v>335</v>
      </c>
      <c r="D371" s="117">
        <v>0.030000000000000002</v>
      </c>
      <c r="E371" s="17">
        <f>D371+'Табл.1 Текущий дефицит'!D371</f>
        <v>0.77</v>
      </c>
      <c r="F371" s="13">
        <v>0.11</v>
      </c>
      <c r="G371" s="14">
        <v>120</v>
      </c>
      <c r="H371" s="13">
        <f t="shared" si="24"/>
        <v>0.66</v>
      </c>
      <c r="I371" s="14">
        <v>0</v>
      </c>
      <c r="J371" s="13">
        <f>1.05*4</f>
        <v>4.2</v>
      </c>
      <c r="K371" s="13">
        <f t="shared" si="25"/>
        <v>3.54</v>
      </c>
      <c r="L371" s="13">
        <f t="shared" si="23"/>
        <v>3.54</v>
      </c>
      <c r="M371" s="23" t="s">
        <v>362</v>
      </c>
    </row>
    <row r="372" spans="1:13" ht="28.5">
      <c r="A372" s="42">
        <v>130</v>
      </c>
      <c r="B372" s="76" t="s">
        <v>285</v>
      </c>
      <c r="C372" s="43" t="s">
        <v>339</v>
      </c>
      <c r="D372" s="117">
        <v>0.121</v>
      </c>
      <c r="E372" s="17">
        <f>D372+'Табл.1 Текущий дефицит'!D372</f>
        <v>0.401</v>
      </c>
      <c r="F372" s="13">
        <v>0.29</v>
      </c>
      <c r="G372" s="14">
        <v>120</v>
      </c>
      <c r="H372" s="13">
        <f t="shared" si="24"/>
        <v>0.11100000000000004</v>
      </c>
      <c r="I372" s="14">
        <v>0</v>
      </c>
      <c r="J372" s="13">
        <f>1.05*1.6</f>
        <v>1.6800000000000002</v>
      </c>
      <c r="K372" s="13">
        <f t="shared" si="25"/>
        <v>1.5690000000000002</v>
      </c>
      <c r="L372" s="13">
        <f t="shared" si="23"/>
        <v>1.5690000000000002</v>
      </c>
      <c r="M372" s="23" t="s">
        <v>362</v>
      </c>
    </row>
    <row r="373" spans="1:13" ht="15">
      <c r="A373" s="42">
        <v>131</v>
      </c>
      <c r="B373" s="76" t="s">
        <v>286</v>
      </c>
      <c r="C373" s="43" t="s">
        <v>325</v>
      </c>
      <c r="D373" s="117">
        <v>0.058</v>
      </c>
      <c r="E373" s="17">
        <f>D373+'Табл.1 Текущий дефицит'!D373</f>
        <v>1.308</v>
      </c>
      <c r="F373" s="13">
        <v>1.18</v>
      </c>
      <c r="G373" s="14">
        <v>80</v>
      </c>
      <c r="H373" s="13">
        <f t="shared" si="24"/>
        <v>0.1280000000000001</v>
      </c>
      <c r="I373" s="14">
        <v>0</v>
      </c>
      <c r="J373" s="13">
        <f>1.05*2.5</f>
        <v>2.625</v>
      </c>
      <c r="K373" s="13">
        <f t="shared" si="25"/>
        <v>2.497</v>
      </c>
      <c r="L373" s="13">
        <f t="shared" si="23"/>
        <v>2.497</v>
      </c>
      <c r="M373" s="23" t="s">
        <v>362</v>
      </c>
    </row>
    <row r="374" spans="1:13" ht="15">
      <c r="A374" s="42">
        <v>132</v>
      </c>
      <c r="B374" s="76" t="s">
        <v>287</v>
      </c>
      <c r="C374" s="43" t="s">
        <v>339</v>
      </c>
      <c r="D374" s="117">
        <v>0.015</v>
      </c>
      <c r="E374" s="17">
        <f>D374+'Табл.1 Текущий дефицит'!D374</f>
        <v>0.29500000000000004</v>
      </c>
      <c r="F374" s="13">
        <v>0.08</v>
      </c>
      <c r="G374" s="14">
        <v>20</v>
      </c>
      <c r="H374" s="13">
        <f t="shared" si="24"/>
        <v>0.21500000000000002</v>
      </c>
      <c r="I374" s="14">
        <v>0</v>
      </c>
      <c r="J374" s="13">
        <f>1.05*1.6</f>
        <v>1.6800000000000002</v>
      </c>
      <c r="K374" s="13">
        <f t="shared" si="25"/>
        <v>1.465</v>
      </c>
      <c r="L374" s="13">
        <f aca="true" t="shared" si="26" ref="L374:L393">K374</f>
        <v>1.465</v>
      </c>
      <c r="M374" s="23" t="s">
        <v>362</v>
      </c>
    </row>
    <row r="375" spans="1:13" ht="15">
      <c r="A375" s="42">
        <v>133</v>
      </c>
      <c r="B375" s="76" t="s">
        <v>288</v>
      </c>
      <c r="C375" s="43" t="s">
        <v>325</v>
      </c>
      <c r="D375" s="117">
        <v>1.5628999999999997</v>
      </c>
      <c r="E375" s="17">
        <f>D375+'Табл.1 Текущий дефицит'!D375</f>
        <v>2.9528999999999996</v>
      </c>
      <c r="F375" s="13">
        <v>0.6</v>
      </c>
      <c r="G375" s="14">
        <v>20</v>
      </c>
      <c r="H375" s="13">
        <f t="shared" si="24"/>
        <v>2.3528999999999995</v>
      </c>
      <c r="I375" s="14">
        <v>0</v>
      </c>
      <c r="J375" s="13">
        <f>1.05*2.5</f>
        <v>2.625</v>
      </c>
      <c r="K375" s="13">
        <f t="shared" si="25"/>
        <v>0.27210000000000045</v>
      </c>
      <c r="L375" s="13">
        <f t="shared" si="26"/>
        <v>0.27210000000000045</v>
      </c>
      <c r="M375" s="23" t="s">
        <v>362</v>
      </c>
    </row>
    <row r="376" spans="1:13" ht="28.5">
      <c r="A376" s="42">
        <v>134</v>
      </c>
      <c r="B376" s="76" t="s">
        <v>289</v>
      </c>
      <c r="C376" s="43" t="s">
        <v>324</v>
      </c>
      <c r="D376" s="117">
        <v>0.629</v>
      </c>
      <c r="E376" s="17">
        <f>D376+'Табл.1 Текущий дефицит'!D376</f>
        <v>5.039</v>
      </c>
      <c r="F376" s="13">
        <v>2.25</v>
      </c>
      <c r="G376" s="14">
        <v>80</v>
      </c>
      <c r="H376" s="13">
        <f t="shared" si="24"/>
        <v>2.7889999999999997</v>
      </c>
      <c r="I376" s="14">
        <v>0</v>
      </c>
      <c r="J376" s="13">
        <f>1.05*6.3</f>
        <v>6.615</v>
      </c>
      <c r="K376" s="13">
        <f t="shared" si="25"/>
        <v>3.8260000000000005</v>
      </c>
      <c r="L376" s="13">
        <f t="shared" si="26"/>
        <v>3.8260000000000005</v>
      </c>
      <c r="M376" s="23" t="s">
        <v>362</v>
      </c>
    </row>
    <row r="377" spans="1:13" ht="28.5">
      <c r="A377" s="42">
        <v>135</v>
      </c>
      <c r="B377" s="76" t="s">
        <v>290</v>
      </c>
      <c r="C377" s="43" t="s">
        <v>335</v>
      </c>
      <c r="D377" s="117">
        <v>0.14600000000000002</v>
      </c>
      <c r="E377" s="17">
        <f>D377+'Табл.1 Текущий дефицит'!D377</f>
        <v>2.2359999999999998</v>
      </c>
      <c r="F377" s="13">
        <v>1.4</v>
      </c>
      <c r="G377" s="14">
        <v>45</v>
      </c>
      <c r="H377" s="13">
        <f t="shared" si="24"/>
        <v>0.8359999999999999</v>
      </c>
      <c r="I377" s="14">
        <v>0</v>
      </c>
      <c r="J377" s="13">
        <f>1.05*4</f>
        <v>4.2</v>
      </c>
      <c r="K377" s="13">
        <f t="shared" si="25"/>
        <v>3.3640000000000003</v>
      </c>
      <c r="L377" s="13">
        <f t="shared" si="26"/>
        <v>3.3640000000000003</v>
      </c>
      <c r="M377" s="23" t="s">
        <v>362</v>
      </c>
    </row>
    <row r="378" spans="1:13" ht="15">
      <c r="A378" s="42">
        <v>136</v>
      </c>
      <c r="B378" s="76" t="s">
        <v>291</v>
      </c>
      <c r="C378" s="43" t="s">
        <v>325</v>
      </c>
      <c r="D378" s="117">
        <v>0.09599999999999999</v>
      </c>
      <c r="E378" s="17">
        <f>D378+'Табл.1 Текущий дефицит'!D378</f>
        <v>0.496</v>
      </c>
      <c r="F378" s="13">
        <v>0</v>
      </c>
      <c r="G378" s="14" t="s">
        <v>354</v>
      </c>
      <c r="H378" s="13">
        <f t="shared" si="24"/>
        <v>0.496</v>
      </c>
      <c r="I378" s="14">
        <v>0</v>
      </c>
      <c r="J378" s="13">
        <f>1.05*2.5</f>
        <v>2.625</v>
      </c>
      <c r="K378" s="13">
        <f t="shared" si="25"/>
        <v>2.129</v>
      </c>
      <c r="L378" s="13">
        <f t="shared" si="26"/>
        <v>2.129</v>
      </c>
      <c r="M378" s="23" t="s">
        <v>362</v>
      </c>
    </row>
    <row r="379" spans="1:13" ht="15">
      <c r="A379" s="42">
        <v>137</v>
      </c>
      <c r="B379" s="76" t="s">
        <v>292</v>
      </c>
      <c r="C379" s="43" t="s">
        <v>325</v>
      </c>
      <c r="D379" s="117">
        <v>0.124</v>
      </c>
      <c r="E379" s="17">
        <f>D379+'Табл.1 Текущий дефицит'!D379</f>
        <v>0.634</v>
      </c>
      <c r="F379" s="13">
        <v>0.6</v>
      </c>
      <c r="G379" s="14">
        <v>120</v>
      </c>
      <c r="H379" s="13">
        <f t="shared" si="24"/>
        <v>0.03400000000000003</v>
      </c>
      <c r="I379" s="14">
        <v>0</v>
      </c>
      <c r="J379" s="13">
        <f>1.05*2.5</f>
        <v>2.625</v>
      </c>
      <c r="K379" s="13">
        <f t="shared" si="25"/>
        <v>2.591</v>
      </c>
      <c r="L379" s="13">
        <f t="shared" si="26"/>
        <v>2.591</v>
      </c>
      <c r="M379" s="23" t="s">
        <v>362</v>
      </c>
    </row>
    <row r="380" spans="1:13" ht="15">
      <c r="A380" s="42">
        <v>138</v>
      </c>
      <c r="B380" s="76" t="s">
        <v>293</v>
      </c>
      <c r="C380" s="43" t="s">
        <v>335</v>
      </c>
      <c r="D380" s="117">
        <v>0.11900000000000001</v>
      </c>
      <c r="E380" s="17">
        <f>D380+'Табл.1 Текущий дефицит'!D380</f>
        <v>1.429</v>
      </c>
      <c r="F380" s="13">
        <v>0.05</v>
      </c>
      <c r="G380" s="14">
        <v>10</v>
      </c>
      <c r="H380" s="13">
        <f t="shared" si="24"/>
        <v>1.379</v>
      </c>
      <c r="I380" s="14">
        <v>0</v>
      </c>
      <c r="J380" s="13">
        <f>1.05*4</f>
        <v>4.2</v>
      </c>
      <c r="K380" s="13">
        <f t="shared" si="25"/>
        <v>2.821</v>
      </c>
      <c r="L380" s="13">
        <f t="shared" si="26"/>
        <v>2.821</v>
      </c>
      <c r="M380" s="23" t="s">
        <v>362</v>
      </c>
    </row>
    <row r="381" spans="1:13" ht="15">
      <c r="A381" s="42">
        <v>139</v>
      </c>
      <c r="B381" s="76" t="s">
        <v>294</v>
      </c>
      <c r="C381" s="43" t="s">
        <v>345</v>
      </c>
      <c r="D381" s="117">
        <v>0.13</v>
      </c>
      <c r="E381" s="17">
        <f>D381+'Табл.1 Текущий дефицит'!D381</f>
        <v>1.1600000000000001</v>
      </c>
      <c r="F381" s="13">
        <v>0.08</v>
      </c>
      <c r="G381" s="14">
        <v>10</v>
      </c>
      <c r="H381" s="13">
        <f t="shared" si="24"/>
        <v>1.08</v>
      </c>
      <c r="I381" s="14">
        <v>0</v>
      </c>
      <c r="J381" s="13">
        <f>1.05*1.6</f>
        <v>1.6800000000000002</v>
      </c>
      <c r="K381" s="13">
        <f t="shared" si="25"/>
        <v>0.6000000000000001</v>
      </c>
      <c r="L381" s="13">
        <f t="shared" si="26"/>
        <v>0.6000000000000001</v>
      </c>
      <c r="M381" s="23" t="s">
        <v>362</v>
      </c>
    </row>
    <row r="382" spans="1:13" ht="28.5">
      <c r="A382" s="42">
        <v>140</v>
      </c>
      <c r="B382" s="76" t="s">
        <v>295</v>
      </c>
      <c r="C382" s="43" t="s">
        <v>341</v>
      </c>
      <c r="D382" s="117">
        <v>0.21400000000000002</v>
      </c>
      <c r="E382" s="17">
        <f>D382+'Табл.1 Текущий дефицит'!D382</f>
        <v>0.984</v>
      </c>
      <c r="F382" s="13">
        <v>0.69</v>
      </c>
      <c r="G382" s="14">
        <v>120</v>
      </c>
      <c r="H382" s="13">
        <f t="shared" si="24"/>
        <v>0.29400000000000004</v>
      </c>
      <c r="I382" s="14">
        <v>0</v>
      </c>
      <c r="J382" s="13">
        <f>1.05*3.2</f>
        <v>3.3600000000000003</v>
      </c>
      <c r="K382" s="13">
        <f t="shared" si="25"/>
        <v>3.0660000000000003</v>
      </c>
      <c r="L382" s="13">
        <f t="shared" si="26"/>
        <v>3.0660000000000003</v>
      </c>
      <c r="M382" s="23" t="s">
        <v>362</v>
      </c>
    </row>
    <row r="383" spans="1:13" ht="15">
      <c r="A383" s="42">
        <v>141</v>
      </c>
      <c r="B383" s="76" t="s">
        <v>296</v>
      </c>
      <c r="C383" s="43" t="s">
        <v>325</v>
      </c>
      <c r="D383" s="117">
        <v>0.105225</v>
      </c>
      <c r="E383" s="17">
        <f>D383+'Табл.1 Текущий дефицит'!D383</f>
        <v>0.755225</v>
      </c>
      <c r="F383" s="13">
        <v>0.58</v>
      </c>
      <c r="G383" s="14">
        <v>80</v>
      </c>
      <c r="H383" s="13">
        <f t="shared" si="24"/>
        <v>0.17522500000000008</v>
      </c>
      <c r="I383" s="14">
        <v>0</v>
      </c>
      <c r="J383" s="13">
        <f>1.05*2.5</f>
        <v>2.625</v>
      </c>
      <c r="K383" s="13">
        <f t="shared" si="25"/>
        <v>2.449775</v>
      </c>
      <c r="L383" s="13">
        <f t="shared" si="26"/>
        <v>2.449775</v>
      </c>
      <c r="M383" s="23" t="s">
        <v>362</v>
      </c>
    </row>
    <row r="384" spans="1:13" ht="15">
      <c r="A384" s="42">
        <v>142</v>
      </c>
      <c r="B384" s="76" t="s">
        <v>297</v>
      </c>
      <c r="C384" s="43" t="s">
        <v>339</v>
      </c>
      <c r="D384" s="117">
        <v>0.03</v>
      </c>
      <c r="E384" s="17">
        <f>D384+'Табл.1 Текущий дефицит'!D384</f>
        <v>0.23</v>
      </c>
      <c r="F384" s="13">
        <v>0.2</v>
      </c>
      <c r="G384" s="14">
        <v>80</v>
      </c>
      <c r="H384" s="13">
        <f t="shared" si="24"/>
        <v>0.03</v>
      </c>
      <c r="I384" s="14">
        <v>0</v>
      </c>
      <c r="J384" s="13">
        <f>1.05*1.6</f>
        <v>1.6800000000000002</v>
      </c>
      <c r="K384" s="13">
        <f t="shared" si="25"/>
        <v>1.6500000000000001</v>
      </c>
      <c r="L384" s="13">
        <f t="shared" si="26"/>
        <v>1.6500000000000001</v>
      </c>
      <c r="M384" s="23" t="s">
        <v>362</v>
      </c>
    </row>
    <row r="385" spans="1:13" ht="15">
      <c r="A385" s="42">
        <v>143</v>
      </c>
      <c r="B385" s="76" t="s">
        <v>298</v>
      </c>
      <c r="C385" s="43" t="s">
        <v>339</v>
      </c>
      <c r="D385" s="117">
        <v>0.019</v>
      </c>
      <c r="E385" s="17">
        <f>D385+'Табл.1 Текущий дефицит'!D385</f>
        <v>0.259</v>
      </c>
      <c r="F385" s="13">
        <v>0.2</v>
      </c>
      <c r="G385" s="14">
        <v>120</v>
      </c>
      <c r="H385" s="13">
        <f t="shared" si="24"/>
        <v>0.059</v>
      </c>
      <c r="I385" s="14">
        <v>0</v>
      </c>
      <c r="J385" s="13">
        <f>1.05*1.6</f>
        <v>1.6800000000000002</v>
      </c>
      <c r="K385" s="13">
        <f t="shared" si="25"/>
        <v>1.6210000000000002</v>
      </c>
      <c r="L385" s="13">
        <f t="shared" si="26"/>
        <v>1.6210000000000002</v>
      </c>
      <c r="M385" s="23" t="s">
        <v>362</v>
      </c>
    </row>
    <row r="386" spans="1:13" ht="15">
      <c r="A386" s="42">
        <v>144</v>
      </c>
      <c r="B386" s="76" t="s">
        <v>299</v>
      </c>
      <c r="C386" s="43" t="s">
        <v>335</v>
      </c>
      <c r="D386" s="117">
        <v>0.15800000000000003</v>
      </c>
      <c r="E386" s="17">
        <f>D386+'Табл.1 Текущий дефицит'!D386</f>
        <v>2.178</v>
      </c>
      <c r="F386" s="13">
        <v>1.08</v>
      </c>
      <c r="G386" s="14">
        <v>45</v>
      </c>
      <c r="H386" s="13">
        <f t="shared" si="24"/>
        <v>1.0979999999999999</v>
      </c>
      <c r="I386" s="14">
        <v>0</v>
      </c>
      <c r="J386" s="13">
        <f>1.05*4</f>
        <v>4.2</v>
      </c>
      <c r="K386" s="13">
        <f t="shared" si="25"/>
        <v>3.1020000000000003</v>
      </c>
      <c r="L386" s="13">
        <f t="shared" si="26"/>
        <v>3.1020000000000003</v>
      </c>
      <c r="M386" s="23" t="s">
        <v>362</v>
      </c>
    </row>
    <row r="387" spans="1:13" ht="15">
      <c r="A387" s="42">
        <v>145</v>
      </c>
      <c r="B387" s="76" t="s">
        <v>300</v>
      </c>
      <c r="C387" s="43" t="s">
        <v>325</v>
      </c>
      <c r="D387" s="117">
        <v>0.11</v>
      </c>
      <c r="E387" s="17">
        <f>D387+'Табл.1 Текущий дефицит'!D387</f>
        <v>0.55</v>
      </c>
      <c r="F387" s="13">
        <v>0.6</v>
      </c>
      <c r="G387" s="14">
        <v>120</v>
      </c>
      <c r="H387" s="13">
        <f t="shared" si="24"/>
        <v>-0.04999999999999993</v>
      </c>
      <c r="I387" s="14">
        <v>0</v>
      </c>
      <c r="J387" s="13">
        <f>1.05*2.5</f>
        <v>2.625</v>
      </c>
      <c r="K387" s="13">
        <f t="shared" si="25"/>
        <v>2.675</v>
      </c>
      <c r="L387" s="13">
        <f t="shared" si="26"/>
        <v>2.675</v>
      </c>
      <c r="M387" s="23" t="s">
        <v>362</v>
      </c>
    </row>
    <row r="388" spans="1:13" ht="15">
      <c r="A388" s="42">
        <v>146</v>
      </c>
      <c r="B388" s="76" t="s">
        <v>301</v>
      </c>
      <c r="C388" s="43" t="s">
        <v>325</v>
      </c>
      <c r="D388" s="117">
        <v>0.20900000000000002</v>
      </c>
      <c r="E388" s="17">
        <f>D388+'Табл.1 Текущий дефицит'!D388</f>
        <v>1.3190000000000002</v>
      </c>
      <c r="F388" s="13">
        <v>1</v>
      </c>
      <c r="G388" s="14">
        <v>80</v>
      </c>
      <c r="H388" s="13">
        <f t="shared" si="24"/>
        <v>0.3190000000000002</v>
      </c>
      <c r="I388" s="14">
        <v>0</v>
      </c>
      <c r="J388" s="13">
        <f>1.05*2.5</f>
        <v>2.625</v>
      </c>
      <c r="K388" s="13">
        <f t="shared" si="25"/>
        <v>2.306</v>
      </c>
      <c r="L388" s="13">
        <f t="shared" si="26"/>
        <v>2.306</v>
      </c>
      <c r="M388" s="23" t="s">
        <v>362</v>
      </c>
    </row>
    <row r="389" spans="1:13" ht="28.5">
      <c r="A389" s="42">
        <v>147</v>
      </c>
      <c r="B389" s="76" t="s">
        <v>302</v>
      </c>
      <c r="C389" s="43" t="s">
        <v>397</v>
      </c>
      <c r="D389" s="117">
        <v>0.008</v>
      </c>
      <c r="E389" s="17">
        <f>D389+'Табл.1 Текущий дефицит'!D389</f>
        <v>22.448</v>
      </c>
      <c r="F389" s="13">
        <v>5</v>
      </c>
      <c r="G389" s="14" t="s">
        <v>365</v>
      </c>
      <c r="H389" s="13">
        <f t="shared" si="24"/>
        <v>17.448</v>
      </c>
      <c r="I389" s="14">
        <v>0</v>
      </c>
      <c r="J389" s="13">
        <f>1.05*40</f>
        <v>42</v>
      </c>
      <c r="K389" s="13">
        <f t="shared" si="25"/>
        <v>24.552</v>
      </c>
      <c r="L389" s="13">
        <f t="shared" si="26"/>
        <v>24.552</v>
      </c>
      <c r="M389" s="23" t="s">
        <v>362</v>
      </c>
    </row>
    <row r="390" spans="1:13" ht="15">
      <c r="A390" s="42">
        <v>148</v>
      </c>
      <c r="B390" s="76" t="s">
        <v>303</v>
      </c>
      <c r="C390" s="43" t="s">
        <v>325</v>
      </c>
      <c r="D390" s="117">
        <v>0.01</v>
      </c>
      <c r="E390" s="17">
        <f>D390+'Табл.1 Текущий дефицит'!D390</f>
        <v>0.21000000000000002</v>
      </c>
      <c r="F390" s="13">
        <v>0.5</v>
      </c>
      <c r="G390" s="14">
        <v>120</v>
      </c>
      <c r="H390" s="13">
        <f t="shared" si="24"/>
        <v>-0.29</v>
      </c>
      <c r="I390" s="14">
        <v>0</v>
      </c>
      <c r="J390" s="13">
        <f>1.05*2.5</f>
        <v>2.625</v>
      </c>
      <c r="K390" s="13">
        <f t="shared" si="25"/>
        <v>2.915</v>
      </c>
      <c r="L390" s="13">
        <f t="shared" si="26"/>
        <v>2.915</v>
      </c>
      <c r="M390" s="23" t="s">
        <v>362</v>
      </c>
    </row>
    <row r="391" spans="1:13" ht="15">
      <c r="A391" s="42">
        <v>149</v>
      </c>
      <c r="B391" s="76" t="s">
        <v>304</v>
      </c>
      <c r="C391" s="43" t="s">
        <v>337</v>
      </c>
      <c r="D391" s="117">
        <v>0.09000000000000001</v>
      </c>
      <c r="E391" s="17">
        <f>D391+'Табл.1 Текущий дефицит'!D391</f>
        <v>0.47000000000000003</v>
      </c>
      <c r="F391" s="13">
        <v>0.21</v>
      </c>
      <c r="G391" s="14">
        <v>80</v>
      </c>
      <c r="H391" s="13">
        <f t="shared" si="24"/>
        <v>0.26</v>
      </c>
      <c r="I391" s="14">
        <v>0</v>
      </c>
      <c r="J391" s="13">
        <f>1.05*2.5</f>
        <v>2.625</v>
      </c>
      <c r="K391" s="13">
        <f t="shared" si="25"/>
        <v>2.365</v>
      </c>
      <c r="L391" s="13">
        <f t="shared" si="26"/>
        <v>2.365</v>
      </c>
      <c r="M391" s="23" t="s">
        <v>362</v>
      </c>
    </row>
    <row r="392" spans="1:13" ht="15">
      <c r="A392" s="42">
        <v>150</v>
      </c>
      <c r="B392" s="76" t="s">
        <v>305</v>
      </c>
      <c r="C392" s="43" t="s">
        <v>325</v>
      </c>
      <c r="D392" s="117">
        <v>0.012</v>
      </c>
      <c r="E392" s="17">
        <f>D392+'Табл.1 Текущий дефицит'!D392</f>
        <v>0.21200000000000002</v>
      </c>
      <c r="F392" s="13">
        <v>0.3</v>
      </c>
      <c r="G392" s="14">
        <v>120</v>
      </c>
      <c r="H392" s="13">
        <f t="shared" si="24"/>
        <v>-0.08799999999999997</v>
      </c>
      <c r="I392" s="14">
        <v>0</v>
      </c>
      <c r="J392" s="13">
        <f>1.05*2.5</f>
        <v>2.625</v>
      </c>
      <c r="K392" s="13">
        <f t="shared" si="25"/>
        <v>2.713</v>
      </c>
      <c r="L392" s="13">
        <f t="shared" si="26"/>
        <v>2.713</v>
      </c>
      <c r="M392" s="23" t="s">
        <v>362</v>
      </c>
    </row>
    <row r="393" spans="1:13" ht="15">
      <c r="A393" s="42">
        <v>151</v>
      </c>
      <c r="B393" s="76" t="s">
        <v>306</v>
      </c>
      <c r="C393" s="43" t="s">
        <v>342</v>
      </c>
      <c r="D393" s="117">
        <v>0.0692</v>
      </c>
      <c r="E393" s="17">
        <f>D393+'Табл.1 Текущий дефицит'!D393</f>
        <v>1.5992</v>
      </c>
      <c r="F393" s="13">
        <v>0.6</v>
      </c>
      <c r="G393" s="14">
        <v>120</v>
      </c>
      <c r="H393" s="13">
        <f t="shared" si="24"/>
        <v>0.9992</v>
      </c>
      <c r="I393" s="14">
        <v>0</v>
      </c>
      <c r="J393" s="13">
        <f>1.05*4</f>
        <v>4.2</v>
      </c>
      <c r="K393" s="13">
        <f t="shared" si="25"/>
        <v>3.2008</v>
      </c>
      <c r="L393" s="13">
        <f t="shared" si="26"/>
        <v>3.2008</v>
      </c>
      <c r="M393" s="23" t="s">
        <v>362</v>
      </c>
    </row>
    <row r="394" spans="1:13" ht="28.5">
      <c r="A394" s="42">
        <v>152</v>
      </c>
      <c r="B394" s="76" t="s">
        <v>307</v>
      </c>
      <c r="C394" s="43" t="s">
        <v>329</v>
      </c>
      <c r="D394" s="117">
        <v>2.35</v>
      </c>
      <c r="E394" s="17">
        <f>D394+'Табл.1 Текущий дефицит'!D394</f>
        <v>10.78</v>
      </c>
      <c r="F394" s="13">
        <v>4.7</v>
      </c>
      <c r="G394" s="14">
        <v>80</v>
      </c>
      <c r="H394" s="13">
        <f t="shared" si="24"/>
        <v>6.079999999999999</v>
      </c>
      <c r="I394" s="14">
        <v>0</v>
      </c>
      <c r="J394" s="13">
        <f>1.05*10</f>
        <v>10.5</v>
      </c>
      <c r="K394" s="13">
        <f t="shared" si="25"/>
        <v>4.420000000000001</v>
      </c>
      <c r="L394" s="13">
        <f>K394</f>
        <v>4.420000000000001</v>
      </c>
      <c r="M394" s="23" t="s">
        <v>362</v>
      </c>
    </row>
    <row r="395" spans="1:13" ht="15">
      <c r="A395" s="42">
        <v>153</v>
      </c>
      <c r="B395" s="79" t="s">
        <v>358</v>
      </c>
      <c r="C395" s="3" t="s">
        <v>325</v>
      </c>
      <c r="D395" s="117">
        <v>0.253</v>
      </c>
      <c r="E395" s="17">
        <f>D395+'Табл.1 Текущий дефицит'!D395</f>
        <v>2.713</v>
      </c>
      <c r="F395" s="13">
        <v>3.9</v>
      </c>
      <c r="G395" s="14">
        <v>120</v>
      </c>
      <c r="H395" s="13">
        <f t="shared" si="24"/>
        <v>-1.1869999999999998</v>
      </c>
      <c r="I395" s="14">
        <v>0</v>
      </c>
      <c r="J395" s="13">
        <f>1.05*2.5</f>
        <v>2.625</v>
      </c>
      <c r="K395" s="13">
        <f t="shared" si="25"/>
        <v>3.812</v>
      </c>
      <c r="L395" s="13">
        <f>K395</f>
        <v>3.812</v>
      </c>
      <c r="M395" s="23" t="s">
        <v>362</v>
      </c>
    </row>
    <row r="396" spans="1:13" ht="15">
      <c r="A396" s="42">
        <v>154</v>
      </c>
      <c r="B396" s="79" t="s">
        <v>404</v>
      </c>
      <c r="C396" s="3" t="s">
        <v>405</v>
      </c>
      <c r="D396" s="117">
        <v>0.000115</v>
      </c>
      <c r="E396" s="17">
        <f>D396+'Табл.1 Текущий дефицит'!D396</f>
        <v>4.200115</v>
      </c>
      <c r="F396" s="13">
        <v>20.2</v>
      </c>
      <c r="G396" s="14">
        <v>120</v>
      </c>
      <c r="H396" s="13">
        <v>-16</v>
      </c>
      <c r="I396" s="14">
        <v>0</v>
      </c>
      <c r="J396" s="13">
        <v>26.25</v>
      </c>
      <c r="K396" s="13">
        <v>42.25</v>
      </c>
      <c r="L396" s="13">
        <v>42.25</v>
      </c>
      <c r="M396" s="23" t="s">
        <v>362</v>
      </c>
    </row>
    <row r="397" spans="1:13" ht="15">
      <c r="A397" s="302"/>
      <c r="B397" s="36" t="s">
        <v>353</v>
      </c>
      <c r="C397" s="108">
        <v>3292.8</v>
      </c>
      <c r="D397" s="86">
        <v>792.57</v>
      </c>
      <c r="E397" s="35">
        <v>143.76349199999999</v>
      </c>
      <c r="F397" s="87">
        <v>798.66</v>
      </c>
      <c r="G397" s="41"/>
      <c r="H397" s="35"/>
      <c r="I397" s="38"/>
      <c r="J397" s="35"/>
      <c r="K397" s="35"/>
      <c r="L397" s="69">
        <f>L399+36.559</f>
        <v>1150.7380729999998</v>
      </c>
      <c r="M397" s="39"/>
    </row>
    <row r="398" spans="1:13" ht="15">
      <c r="A398" s="302"/>
      <c r="B398" s="36" t="s">
        <v>11</v>
      </c>
      <c r="C398" s="37"/>
      <c r="D398" s="118"/>
      <c r="E398" s="41"/>
      <c r="F398" s="41"/>
      <c r="G398" s="41"/>
      <c r="H398" s="38"/>
      <c r="I398" s="38"/>
      <c r="J398" s="35"/>
      <c r="K398" s="35"/>
      <c r="L398" s="35">
        <f>SUM(L12,L28,L50,L54,L108,L118:L119,L147,L168,L173,L186,L337)</f>
        <v>-36.55876</v>
      </c>
      <c r="M398" s="40"/>
    </row>
    <row r="399" spans="1:13" ht="15">
      <c r="A399" s="302"/>
      <c r="B399" s="36" t="s">
        <v>12</v>
      </c>
      <c r="C399" s="37"/>
      <c r="D399" s="118"/>
      <c r="E399" s="87"/>
      <c r="F399" s="41"/>
      <c r="G399" s="41"/>
      <c r="H399" s="38"/>
      <c r="I399" s="38"/>
      <c r="J399" s="35"/>
      <c r="K399" s="35"/>
      <c r="L399" s="35">
        <f>SUM(L9,L13:L27,L29:L49,L51:L53,L55:L107,L109:L117,L120:L146,L149:L167,L169:L172,L176:L185,L189:L395)</f>
        <v>1114.1790729999998</v>
      </c>
      <c r="M399" s="37"/>
    </row>
    <row r="400" spans="1:13" ht="15">
      <c r="A400" s="5"/>
      <c r="B400" s="6"/>
      <c r="C400" s="6"/>
      <c r="D400" s="53"/>
      <c r="E400" s="5"/>
      <c r="F400" s="5"/>
      <c r="G400" s="5"/>
      <c r="H400" s="6"/>
      <c r="I400" s="6"/>
      <c r="J400" s="5"/>
      <c r="K400" s="5"/>
      <c r="L400" s="5"/>
      <c r="M400" s="57"/>
    </row>
    <row r="401" spans="1:12" ht="15">
      <c r="A401" s="9"/>
      <c r="B401" s="57" t="s">
        <v>391</v>
      </c>
      <c r="C401" s="55"/>
      <c r="D401" s="64"/>
      <c r="E401" s="9"/>
      <c r="F401" s="9"/>
      <c r="G401" s="8"/>
      <c r="H401" s="34"/>
      <c r="I401" s="9"/>
      <c r="J401" s="9"/>
      <c r="K401" s="9"/>
      <c r="L401" s="33"/>
    </row>
    <row r="402" spans="1:12" ht="15">
      <c r="A402" s="9"/>
      <c r="B402" s="8" t="s">
        <v>401</v>
      </c>
      <c r="C402" s="55"/>
      <c r="D402" s="64"/>
      <c r="E402" s="9"/>
      <c r="F402" s="9"/>
      <c r="G402" s="8"/>
      <c r="H402" s="34"/>
      <c r="I402" s="9"/>
      <c r="J402" s="9"/>
      <c r="K402" s="9"/>
      <c r="L402" s="33"/>
    </row>
    <row r="403" spans="1:13" ht="15">
      <c r="A403" s="9"/>
      <c r="B403" s="8" t="s">
        <v>402</v>
      </c>
      <c r="C403" s="8"/>
      <c r="D403" s="55"/>
      <c r="E403" s="9"/>
      <c r="F403" s="9"/>
      <c r="G403" s="9"/>
      <c r="H403" s="8"/>
      <c r="I403" s="8"/>
      <c r="J403" s="9"/>
      <c r="K403" s="9"/>
      <c r="L403" s="9"/>
      <c r="M403" s="57"/>
    </row>
    <row r="404" spans="1:13" ht="15">
      <c r="A404" s="9"/>
      <c r="B404" s="8"/>
      <c r="C404" s="8"/>
      <c r="D404" s="55"/>
      <c r="E404" s="9"/>
      <c r="F404" s="9"/>
      <c r="G404" s="9"/>
      <c r="H404" s="8"/>
      <c r="I404" s="8"/>
      <c r="J404" s="9"/>
      <c r="K404" s="9"/>
      <c r="L404" s="9"/>
      <c r="M404" s="57"/>
    </row>
    <row r="405" spans="1:13" ht="15">
      <c r="A405" s="9"/>
      <c r="B405" s="8"/>
      <c r="C405" s="65" t="s">
        <v>376</v>
      </c>
      <c r="D405" s="66"/>
      <c r="E405" s="66"/>
      <c r="F405" s="66"/>
      <c r="G405" s="65"/>
      <c r="H405" s="67"/>
      <c r="I405" s="66"/>
      <c r="J405" s="66"/>
      <c r="K405" s="9"/>
      <c r="L405" s="9"/>
      <c r="M405" s="57"/>
    </row>
    <row r="406" spans="1:13" ht="15">
      <c r="A406" s="9"/>
      <c r="B406" s="8"/>
      <c r="C406" s="65" t="s">
        <v>377</v>
      </c>
      <c r="D406" s="66"/>
      <c r="E406" s="66"/>
      <c r="F406" s="66"/>
      <c r="G406" s="65"/>
      <c r="H406" s="67"/>
      <c r="I406" s="66"/>
      <c r="J406" s="66" t="s">
        <v>378</v>
      </c>
      <c r="K406" s="9"/>
      <c r="L406" s="9"/>
      <c r="M406" s="57"/>
    </row>
    <row r="407" spans="1:13" ht="15">
      <c r="A407" s="9"/>
      <c r="B407" s="8"/>
      <c r="C407" s="8"/>
      <c r="D407" s="55"/>
      <c r="E407" s="9"/>
      <c r="F407" s="9"/>
      <c r="G407" s="9"/>
      <c r="H407" s="8"/>
      <c r="I407" s="8"/>
      <c r="J407" s="9"/>
      <c r="K407" s="9"/>
      <c r="L407" s="9"/>
      <c r="M407" s="57"/>
    </row>
  </sheetData>
  <sheetProtection/>
  <autoFilter ref="A7:M399"/>
  <mergeCells count="174">
    <mergeCell ref="K1:L1"/>
    <mergeCell ref="B2:L2"/>
    <mergeCell ref="K3:L3"/>
    <mergeCell ref="A4:A6"/>
    <mergeCell ref="B4:B6"/>
    <mergeCell ref="C4:L4"/>
    <mergeCell ref="A8:M8"/>
    <mergeCell ref="A9:A11"/>
    <mergeCell ref="L9:L11"/>
    <mergeCell ref="M9:M11"/>
    <mergeCell ref="A13:A15"/>
    <mergeCell ref="L13:L15"/>
    <mergeCell ref="M13:M15"/>
    <mergeCell ref="M4:M6"/>
    <mergeCell ref="C5:C6"/>
    <mergeCell ref="D5:D6"/>
    <mergeCell ref="E5:E6"/>
    <mergeCell ref="F5:G5"/>
    <mergeCell ref="H5:H6"/>
    <mergeCell ref="I5:I6"/>
    <mergeCell ref="J5:J6"/>
    <mergeCell ref="K5:L6"/>
    <mergeCell ref="A17:A19"/>
    <mergeCell ref="L17:L19"/>
    <mergeCell ref="M17:M19"/>
    <mergeCell ref="A180:A182"/>
    <mergeCell ref="L180:L182"/>
    <mergeCell ref="M180:M182"/>
    <mergeCell ref="A22:A24"/>
    <mergeCell ref="L22:L24"/>
    <mergeCell ref="M22:M24"/>
    <mergeCell ref="A155:A157"/>
    <mergeCell ref="L155:L157"/>
    <mergeCell ref="M155:M157"/>
    <mergeCell ref="A158:A160"/>
    <mergeCell ref="L158:L160"/>
    <mergeCell ref="M158:M160"/>
    <mergeCell ref="A161:A163"/>
    <mergeCell ref="L161:L163"/>
    <mergeCell ref="M161:M163"/>
    <mergeCell ref="A29:A31"/>
    <mergeCell ref="L29:L31"/>
    <mergeCell ref="M29:M31"/>
    <mergeCell ref="A148:M148"/>
    <mergeCell ref="A151:A153"/>
    <mergeCell ref="L151:L153"/>
    <mergeCell ref="M151:M153"/>
    <mergeCell ref="A173:A175"/>
    <mergeCell ref="L173:L175"/>
    <mergeCell ref="M173:M175"/>
    <mergeCell ref="A176:A178"/>
    <mergeCell ref="L176:L178"/>
    <mergeCell ref="M176:M178"/>
    <mergeCell ref="A165:A167"/>
    <mergeCell ref="L165:L167"/>
    <mergeCell ref="M165:M167"/>
    <mergeCell ref="A169:A171"/>
    <mergeCell ref="L169:L171"/>
    <mergeCell ref="M169:M171"/>
    <mergeCell ref="A189:A191"/>
    <mergeCell ref="L189:L191"/>
    <mergeCell ref="M189:M191"/>
    <mergeCell ref="A192:A194"/>
    <mergeCell ref="L192:L194"/>
    <mergeCell ref="M192:M194"/>
    <mergeCell ref="A183:A185"/>
    <mergeCell ref="L183:L185"/>
    <mergeCell ref="M183:M185"/>
    <mergeCell ref="A186:A188"/>
    <mergeCell ref="L186:L188"/>
    <mergeCell ref="M186:M188"/>
    <mergeCell ref="A202:A204"/>
    <mergeCell ref="L202:L204"/>
    <mergeCell ref="M202:M204"/>
    <mergeCell ref="A206:A208"/>
    <mergeCell ref="L206:L208"/>
    <mergeCell ref="M206:M208"/>
    <mergeCell ref="A195:A197"/>
    <mergeCell ref="L195:L197"/>
    <mergeCell ref="M195:M197"/>
    <mergeCell ref="A198:A200"/>
    <mergeCell ref="L198:L200"/>
    <mergeCell ref="M198:M200"/>
    <mergeCell ref="A216:A218"/>
    <mergeCell ref="L216:L218"/>
    <mergeCell ref="M216:M218"/>
    <mergeCell ref="A219:A221"/>
    <mergeCell ref="L219:L221"/>
    <mergeCell ref="M219:M221"/>
    <mergeCell ref="A210:A212"/>
    <mergeCell ref="L210:L212"/>
    <mergeCell ref="M210:M212"/>
    <mergeCell ref="A213:A215"/>
    <mergeCell ref="L213:L215"/>
    <mergeCell ref="M213:M215"/>
    <mergeCell ref="A229:A231"/>
    <mergeCell ref="L229:L231"/>
    <mergeCell ref="M229:M231"/>
    <mergeCell ref="A233:A235"/>
    <mergeCell ref="L233:L235"/>
    <mergeCell ref="M233:M235"/>
    <mergeCell ref="A222:A224"/>
    <mergeCell ref="L222:L224"/>
    <mergeCell ref="M222:M224"/>
    <mergeCell ref="A226:A228"/>
    <mergeCell ref="L226:L228"/>
    <mergeCell ref="M226:M228"/>
    <mergeCell ref="A243:A245"/>
    <mergeCell ref="L243:L245"/>
    <mergeCell ref="M243:M245"/>
    <mergeCell ref="A246:A248"/>
    <mergeCell ref="L246:L248"/>
    <mergeCell ref="M246:M248"/>
    <mergeCell ref="A236:A238"/>
    <mergeCell ref="L236:L238"/>
    <mergeCell ref="M236:M238"/>
    <mergeCell ref="A239:A241"/>
    <mergeCell ref="L239:L241"/>
    <mergeCell ref="M239:M241"/>
    <mergeCell ref="A251:A253"/>
    <mergeCell ref="L251:L253"/>
    <mergeCell ref="M251:M253"/>
    <mergeCell ref="A257:A259"/>
    <mergeCell ref="L257:L259"/>
    <mergeCell ref="M257:M259"/>
    <mergeCell ref="A254:A256"/>
    <mergeCell ref="L254:L256"/>
    <mergeCell ref="M254:M256"/>
    <mergeCell ref="A269:A271"/>
    <mergeCell ref="L269:L271"/>
    <mergeCell ref="M269:M271"/>
    <mergeCell ref="A272:A274"/>
    <mergeCell ref="L272:L274"/>
    <mergeCell ref="M272:M274"/>
    <mergeCell ref="A260:A262"/>
    <mergeCell ref="L260:L262"/>
    <mergeCell ref="M260:M262"/>
    <mergeCell ref="A263:A265"/>
    <mergeCell ref="L263:L265"/>
    <mergeCell ref="M263:M265"/>
    <mergeCell ref="A281:A283"/>
    <mergeCell ref="L281:L283"/>
    <mergeCell ref="M281:M283"/>
    <mergeCell ref="A284:A286"/>
    <mergeCell ref="L284:L286"/>
    <mergeCell ref="M284:M286"/>
    <mergeCell ref="A275:A277"/>
    <mergeCell ref="L275:L277"/>
    <mergeCell ref="M275:M277"/>
    <mergeCell ref="A278:A280"/>
    <mergeCell ref="L278:L280"/>
    <mergeCell ref="M278:M280"/>
    <mergeCell ref="A293:A295"/>
    <mergeCell ref="L293:L295"/>
    <mergeCell ref="M293:M295"/>
    <mergeCell ref="A296:A298"/>
    <mergeCell ref="L296:L298"/>
    <mergeCell ref="M296:M298"/>
    <mergeCell ref="A287:A289"/>
    <mergeCell ref="L287:L289"/>
    <mergeCell ref="M287:M289"/>
    <mergeCell ref="A290:A292"/>
    <mergeCell ref="L290:L292"/>
    <mergeCell ref="M290:M292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6" manualBreakCount="6">
    <brk id="119" max="12" man="1"/>
    <brk id="154" max="255" man="1"/>
    <brk id="279" max="12" man="1"/>
    <brk id="301" max="255" man="1"/>
    <brk id="335" max="12" man="1"/>
    <brk id="3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Алабян Мария Андреевна</cp:lastModifiedBy>
  <cp:lastPrinted>2011-12-01T11:52:21Z</cp:lastPrinted>
  <dcterms:created xsi:type="dcterms:W3CDTF">2008-10-03T08:18:33Z</dcterms:created>
  <dcterms:modified xsi:type="dcterms:W3CDTF">2012-01-30T08:51:08Z</dcterms:modified>
  <cp:category/>
  <cp:version/>
  <cp:contentType/>
  <cp:contentStatus/>
</cp:coreProperties>
</file>