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'Костромаэнерго'!$A$1:$AA$239</definedName>
  </definedNames>
  <calcPr fullCalcOnLoad="1"/>
</workbook>
</file>

<file path=xl/sharedStrings.xml><?xml version="1.0" encoding="utf-8"?>
<sst xmlns="http://schemas.openxmlformats.org/spreadsheetml/2006/main" count="837" uniqueCount="228">
  <si>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</si>
  <si>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</si>
  <si>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</si>
  <si>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</si>
  <si>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</si>
  <si>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</si>
  <si>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</si>
  <si>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</si>
  <si>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</si>
  <si>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</si>
  <si>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</si>
  <si>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</si>
  <si>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</si>
  <si>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</si>
  <si>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</si>
  <si>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</si>
  <si>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</si>
  <si>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</si>
  <si>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</si>
  <si>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</si>
  <si>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</si>
  <si>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</si>
  <si>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</si>
  <si>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</si>
  <si>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</si>
  <si>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</si>
  <si>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</si>
  <si>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</si>
  <si>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</si>
  <si>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</si>
  <si>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</si>
  <si>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</si>
  <si>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No.</t>
  </si>
  <si>
    <t>Object of main substation, voltage class</t>
  </si>
  <si>
    <t>Installed power capacity of transformers Sуst. Including their number, pcs/ MVA</t>
  </si>
  <si>
    <t xml:space="preserve">Summary total capacity of central substation following the results of measurements of load maximal Sмах </t>
  </si>
  <si>
    <t>Total capacity redistributed according to operating rules, MVA for the time period</t>
  </si>
  <si>
    <t>MVA</t>
  </si>
  <si>
    <t>Min</t>
  </si>
  <si>
    <t>Current deficit</t>
  </si>
  <si>
    <t>Total capacity including re-distribution, MVA</t>
  </si>
  <si>
    <t>Limiting factors, MVA</t>
  </si>
  <si>
    <t>Permissible load accounted in the N-1 mode, MVA</t>
  </si>
  <si>
    <t xml:space="preserve"> Transmission capacity, MVA</t>
  </si>
  <si>
    <t>Deficit/proficit of Main Substation, MVA</t>
  </si>
  <si>
    <t>Note</t>
  </si>
  <si>
    <t>One-transformer substations</t>
  </si>
  <si>
    <t>Vasilyovo 
110/35/10 kv</t>
  </si>
  <si>
    <t xml:space="preserve">Nom. Capacity MV, MVA </t>
  </si>
  <si>
    <t xml:space="preserve">Nom. Capacity LV, MVA 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</si>
  <si>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</si>
  <si>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</si>
  <si>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</si>
  <si>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</si>
  <si>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</si>
  <si>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</si>
  <si>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</si>
  <si>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</si>
  <si>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</si>
  <si>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</si>
  <si>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</si>
  <si>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</si>
  <si>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</si>
  <si>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</si>
  <si>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</si>
  <si>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</si>
  <si>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</si>
  <si>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</si>
  <si>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</si>
  <si>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</si>
  <si>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</si>
  <si>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</si>
  <si>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</si>
  <si>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</si>
  <si>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</si>
  <si>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</si>
  <si>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</si>
  <si>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</si>
  <si>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</si>
  <si>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</si>
  <si>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</si>
  <si>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</si>
  <si>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</si>
  <si>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</si>
  <si>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</si>
  <si>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</si>
  <si>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</si>
  <si>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</si>
  <si>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</si>
  <si>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</si>
  <si>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</si>
  <si>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</si>
  <si>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</si>
  <si>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</si>
  <si>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</si>
  <si>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</si>
  <si>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</si>
  <si>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</si>
  <si>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</si>
  <si>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</si>
  <si>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</si>
  <si>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</si>
  <si>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</si>
  <si>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</si>
  <si>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</si>
  <si>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</si>
  <si>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</si>
  <si>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</si>
  <si>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</si>
  <si>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</si>
  <si>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</si>
  <si>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</si>
  <si>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</si>
  <si>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</si>
  <si>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</si>
  <si>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</si>
  <si>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</si>
  <si>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</si>
  <si>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</si>
  <si>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</si>
  <si>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</si>
  <si>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</si>
  <si>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</si>
  <si>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</si>
  <si>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</si>
  <si>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</si>
  <si>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</si>
  <si>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</si>
  <si>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</si>
  <si>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</si>
  <si>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</si>
  <si>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</si>
  <si>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</si>
  <si>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</si>
  <si>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</si>
  <si>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</si>
  <si>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</si>
  <si>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</si>
  <si>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</si>
  <si>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</si>
  <si>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</si>
  <si>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</si>
  <si>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</si>
  <si>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</si>
  <si>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</si>
  <si>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</si>
  <si>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</si>
  <si>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</si>
  <si>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</si>
  <si>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</si>
  <si>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</si>
  <si>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</si>
  <si>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</si>
  <si>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Two- and more 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</si>
  <si>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</si>
  <si>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</si>
  <si>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</si>
  <si>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</si>
  <si>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</si>
  <si>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</si>
  <si>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</si>
  <si>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</si>
  <si>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</si>
  <si>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</si>
  <si>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</si>
  <si>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</si>
  <si>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</si>
  <si>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</si>
  <si>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</si>
  <si>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</si>
  <si>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</si>
  <si>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</si>
  <si>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</si>
  <si>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</si>
  <si>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</si>
  <si>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</si>
  <si>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</si>
  <si>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</si>
  <si>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</si>
  <si>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</si>
  <si>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</si>
  <si>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</si>
  <si>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</si>
  <si>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</si>
  <si>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</si>
  <si>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</si>
  <si>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</si>
  <si>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</si>
  <si>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</si>
  <si>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</si>
  <si>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</si>
  <si>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</si>
  <si>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</si>
  <si>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</si>
  <si>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</si>
  <si>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</si>
  <si>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</si>
  <si>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</si>
  <si>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</si>
  <si>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</si>
  <si>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</si>
  <si>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</si>
  <si>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</si>
  <si>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</si>
  <si>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</si>
  <si>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</si>
  <si>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</si>
  <si>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</si>
  <si>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</si>
  <si>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</si>
  <si>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</si>
  <si>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</si>
  <si>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</si>
  <si>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</si>
  <si>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</si>
  <si>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Total over Kostromaenergo</t>
  </si>
  <si>
    <t>deficit</t>
  </si>
  <si>
    <t>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</si>
  <si>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</si>
  <si>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</si>
  <si>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 xml:space="preserve">Expected load of Main substation, MVA </t>
  </si>
  <si>
    <t>Expected deficit/proficit</t>
  </si>
  <si>
    <t xml:space="preserve">Total re-distributed capacity in future including fulfillment of measures of technical specifications or other measures relating to reconstruction of network, investment programs etc.                            </t>
  </si>
  <si>
    <t>Limiting factors,               MVA</t>
  </si>
  <si>
    <t>Permissible load calculated in the N-1 mode, MVA</t>
  </si>
  <si>
    <t>24 hours</t>
  </si>
  <si>
    <t>opened</t>
  </si>
  <si>
    <t>introduced in September, 2009.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</si>
</sst>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39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9" xfId="54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2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5" xfId="55" applyNumberFormat="1" applyFont="1" applyFill="1" applyBorder="1" applyAlignment="1" applyProtection="1">
      <alignment horizontal="center" vertical="center" wrapText="1"/>
      <protection/>
    </xf>
    <xf numFmtId="2" fontId="4" fillId="0" borderId="18" xfId="52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2" fontId="4" fillId="0" borderId="10" xfId="57" applyNumberFormat="1" applyFont="1" applyFill="1" applyBorder="1" applyAlignment="1" applyProtection="1">
      <alignment horizontal="center" vertical="center" wrapText="1"/>
      <protection/>
    </xf>
    <xf numFmtId="2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58" applyNumberFormat="1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2" fontId="4" fillId="24" borderId="13" xfId="53" applyNumberFormat="1" applyFont="1" applyFill="1" applyBorder="1" applyAlignment="1" applyProtection="1">
      <alignment horizontal="center" vertical="center"/>
      <protection/>
    </xf>
    <xf numFmtId="2" fontId="4" fillId="24" borderId="10" xfId="53" applyNumberFormat="1" applyFont="1" applyFill="1" applyBorder="1" applyAlignment="1" applyProtection="1">
      <alignment horizontal="center" vertical="center"/>
      <protection/>
    </xf>
    <xf numFmtId="2" fontId="4" fillId="24" borderId="18" xfId="53" applyNumberFormat="1" applyFont="1" applyFill="1" applyBorder="1" applyAlignment="1" applyProtection="1">
      <alignment horizontal="center" vertical="center"/>
      <protection/>
    </xf>
    <xf numFmtId="2" fontId="4" fillId="24" borderId="10" xfId="57" applyNumberFormat="1" applyFont="1" applyFill="1" applyBorder="1" applyAlignment="1" applyProtection="1">
      <alignment horizontal="center" vertical="center"/>
      <protection/>
    </xf>
    <xf numFmtId="2" fontId="4" fillId="24" borderId="10" xfId="57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3" xfId="57" applyNumberFormat="1" applyFont="1" applyFill="1" applyBorder="1" applyAlignment="1" applyProtection="1">
      <alignment horizontal="center" vertical="center"/>
      <protection/>
    </xf>
    <xf numFmtId="2" fontId="4" fillId="24" borderId="19" xfId="57" applyNumberFormat="1" applyFont="1" applyFill="1" applyBorder="1" applyAlignment="1" applyProtection="1">
      <alignment horizontal="center" vertical="center"/>
      <protection/>
    </xf>
    <xf numFmtId="2" fontId="4" fillId="24" borderId="1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9" xfId="57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10" borderId="0" xfId="0" applyFont="1" applyFill="1" applyAlignment="1">
      <alignment/>
    </xf>
    <xf numFmtId="0" fontId="0" fillId="10" borderId="0" xfId="0" applyFill="1" applyAlignment="1">
      <alignment/>
    </xf>
    <xf numFmtId="2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2" fontId="4" fillId="10" borderId="19" xfId="0" applyNumberFormat="1" applyFont="1" applyFill="1" applyBorder="1" applyAlignment="1" applyProtection="1">
      <alignment horizontal="center" vertical="center"/>
      <protection/>
    </xf>
    <xf numFmtId="2" fontId="4" fillId="10" borderId="10" xfId="53" applyNumberFormat="1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>
      <alignment horizontal="center" vertical="center" wrapText="1"/>
    </xf>
    <xf numFmtId="2" fontId="4" fillId="10" borderId="19" xfId="0" applyNumberFormat="1" applyFont="1" applyFill="1" applyBorder="1" applyAlignment="1">
      <alignment horizontal="center" vertical="center" wrapText="1"/>
    </xf>
    <xf numFmtId="2" fontId="4" fillId="10" borderId="19" xfId="54" applyNumberFormat="1" applyFont="1" applyFill="1" applyBorder="1" applyAlignment="1" applyProtection="1">
      <alignment horizontal="center" vertical="center"/>
      <protection/>
    </xf>
    <xf numFmtId="2" fontId="4" fillId="10" borderId="2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4" fillId="10" borderId="10" xfId="56" applyNumberFormat="1" applyFont="1" applyFill="1" applyBorder="1" applyAlignment="1" applyProtection="1">
      <alignment horizontal="center" vertical="center"/>
      <protection/>
    </xf>
    <xf numFmtId="2" fontId="4" fillId="10" borderId="19" xfId="57" applyNumberFormat="1" applyFont="1" applyFill="1" applyBorder="1" applyAlignment="1" applyProtection="1">
      <alignment horizontal="center" vertical="center"/>
      <protection/>
    </xf>
    <xf numFmtId="2" fontId="4" fillId="10" borderId="18" xfId="0" applyNumberFormat="1" applyFont="1" applyFill="1" applyBorder="1" applyAlignment="1">
      <alignment horizontal="center" vertical="center" wrapText="1"/>
    </xf>
    <xf numFmtId="2" fontId="4" fillId="10" borderId="10" xfId="58" applyNumberFormat="1" applyFont="1" applyFill="1" applyBorder="1" applyAlignment="1" applyProtection="1">
      <alignment horizontal="center" vertical="center"/>
      <protection/>
    </xf>
    <xf numFmtId="2" fontId="4" fillId="10" borderId="10" xfId="57" applyNumberFormat="1" applyFont="1" applyFill="1" applyBorder="1" applyAlignment="1" applyProtection="1">
      <alignment horizontal="center" vertical="center"/>
      <protection/>
    </xf>
    <xf numFmtId="0" fontId="0" fillId="10" borderId="31" xfId="0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0" xfId="52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 wrapText="1"/>
    </xf>
    <xf numFmtId="2" fontId="4" fillId="0" borderId="19" xfId="57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 vertical="center"/>
    </xf>
    <xf numFmtId="2" fontId="4" fillId="10" borderId="19" xfId="58" applyNumberFormat="1" applyFont="1" applyFill="1" applyBorder="1" applyAlignment="1" applyProtection="1">
      <alignment horizontal="center" vertical="center"/>
      <protection/>
    </xf>
    <xf numFmtId="2" fontId="22" fillId="10" borderId="19" xfId="0" applyNumberFormat="1" applyFont="1" applyFill="1" applyBorder="1" applyAlignment="1">
      <alignment horizontal="center" vertical="center" wrapText="1"/>
    </xf>
    <xf numFmtId="0" fontId="4" fillId="10" borderId="19" xfId="57" applyNumberFormat="1" applyFont="1" applyFill="1" applyBorder="1" applyAlignment="1" applyProtection="1">
      <alignment horizontal="center" vertical="center"/>
      <protection/>
    </xf>
    <xf numFmtId="1" fontId="3" fillId="10" borderId="14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2" fontId="4" fillId="10" borderId="2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2" fontId="21" fillId="1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2" fontId="4" fillId="0" borderId="18" xfId="53" applyNumberFormat="1" applyFont="1" applyFill="1" applyBorder="1" applyAlignment="1" applyProtection="1">
      <alignment horizontal="center" vertical="center"/>
      <protection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56" applyNumberFormat="1" applyFont="1" applyFill="1" applyBorder="1" applyAlignment="1" applyProtection="1">
      <alignment horizontal="center" vertical="center"/>
      <protection/>
    </xf>
    <xf numFmtId="164" fontId="4" fillId="0" borderId="10" xfId="56" applyNumberFormat="1" applyFont="1" applyFill="1" applyBorder="1" applyAlignment="1" applyProtection="1">
      <alignment horizontal="center" vertical="center" wrapText="1"/>
      <protection/>
    </xf>
    <xf numFmtId="164" fontId="0" fillId="10" borderId="31" xfId="0" applyNumberFormat="1" applyFill="1" applyBorder="1" applyAlignment="1">
      <alignment horizontal="center" vertical="center" wrapText="1"/>
    </xf>
    <xf numFmtId="164" fontId="4" fillId="10" borderId="10" xfId="56" applyNumberFormat="1" applyFont="1" applyFill="1" applyBorder="1" applyAlignment="1" applyProtection="1">
      <alignment horizontal="center" vertical="center"/>
      <protection/>
    </xf>
    <xf numFmtId="164" fontId="38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3" fillId="10" borderId="30" xfId="0" applyNumberFormat="1" applyFont="1" applyFill="1" applyBorder="1" applyAlignment="1">
      <alignment horizontal="center" vertical="center" wrapText="1"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0" fontId="0" fillId="10" borderId="32" xfId="0" applyFill="1" applyBorder="1" applyAlignment="1">
      <alignment horizontal="center" vertical="center" wrapText="1"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28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4" fillId="0" borderId="18" xfId="52" applyNumberFormat="1" applyFont="1" applyFill="1" applyBorder="1" applyAlignment="1" applyProtection="1">
      <alignment horizontal="center" vertical="center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2" fontId="21" fillId="10" borderId="18" xfId="0" applyNumberFormat="1" applyFont="1" applyFill="1" applyBorder="1" applyAlignment="1">
      <alignment horizontal="center" vertical="center" wrapText="1"/>
    </xf>
    <xf numFmtId="2" fontId="21" fillId="10" borderId="16" xfId="0" applyNumberFormat="1" applyFont="1" applyFill="1" applyBorder="1" applyAlignment="1">
      <alignment horizontal="center" vertical="center" wrapText="1"/>
    </xf>
    <xf numFmtId="2" fontId="21" fillId="10" borderId="19" xfId="0" applyNumberFormat="1" applyFont="1" applyFill="1" applyBorder="1" applyAlignment="1">
      <alignment horizontal="center" vertical="center" wrapText="1"/>
    </xf>
    <xf numFmtId="2" fontId="4" fillId="10" borderId="29" xfId="0" applyNumberFormat="1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2" fontId="4" fillId="10" borderId="18" xfId="52" applyNumberFormat="1" applyFont="1" applyFill="1" applyBorder="1" applyAlignment="1" applyProtection="1">
      <alignment horizontal="center" vertical="center"/>
      <protection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10" borderId="19" xfId="52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4" fillId="0" borderId="18" xfId="52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0" fillId="0" borderId="19" xfId="0" applyNumberFormat="1" applyFill="1" applyBorder="1" applyAlignment="1">
      <alignment horizontal="center" vertical="center" wrapText="1"/>
    </xf>
    <xf numFmtId="2" fontId="4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2" fontId="4" fillId="0" borderId="25" xfId="52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4" fillId="0" borderId="18" xfId="54" applyNumberFormat="1" applyFont="1" applyFill="1" applyBorder="1" applyAlignment="1" applyProtection="1">
      <alignment horizontal="center" vertical="center"/>
      <protection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9" xfId="54" applyNumberFormat="1" applyFont="1" applyFill="1" applyBorder="1" applyAlignment="1" applyProtection="1">
      <alignment horizontal="center" vertical="center"/>
      <protection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/>
    </xf>
    <xf numFmtId="0" fontId="4" fillId="10" borderId="15" xfId="55" applyNumberFormat="1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>
      <alignment horizontal="center"/>
    </xf>
    <xf numFmtId="0" fontId="4" fillId="10" borderId="15" xfId="0" applyNumberFormat="1" applyFont="1" applyFill="1" applyBorder="1" applyAlignment="1" applyProtection="1">
      <alignment horizontal="center" vertical="center" wrapText="1"/>
      <protection/>
    </xf>
    <xf numFmtId="0" fontId="4" fillId="10" borderId="12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Normal="90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T68" sqref="T68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8.00390625" style="0" customWidth="1"/>
    <col min="4" max="4" width="13.28125" style="54" customWidth="1"/>
    <col min="5" max="5" width="15.421875" style="54" customWidth="1"/>
    <col min="6" max="6" width="10.8515625" style="0" customWidth="1"/>
    <col min="7" max="7" width="10.57421875" style="0" customWidth="1"/>
    <col min="8" max="8" width="15.8515625" style="54" customWidth="1"/>
    <col min="9" max="9" width="17.7109375" style="0" customWidth="1"/>
    <col min="10" max="10" width="12.57421875" style="0" customWidth="1"/>
    <col min="11" max="11" width="12.421875" style="75" customWidth="1"/>
    <col min="12" max="12" width="12.57421875" style="0" customWidth="1"/>
    <col min="13" max="13" width="1.57421875" style="105" customWidth="1"/>
    <col min="14" max="14" width="7.140625" style="0" customWidth="1"/>
    <col min="15" max="15" width="22.00390625" style="0" customWidth="1"/>
    <col min="16" max="16" width="16.7109375" style="0" customWidth="1"/>
    <col min="17" max="17" width="11.8515625" style="75" customWidth="1"/>
    <col min="18" max="18" width="13.140625" style="0" customWidth="1"/>
    <col min="21" max="21" width="15.00390625" style="0" customWidth="1"/>
    <col min="22" max="22" width="12.421875" style="0" customWidth="1"/>
    <col min="23" max="23" width="17.28125" style="0" customWidth="1"/>
    <col min="26" max="26" width="14.140625" style="0" customWidth="1"/>
  </cols>
  <sheetData>
    <row r="1" spans="1:26" ht="15" customHeight="1">
      <c r="A1" s="240" t="s">
        <v>32</v>
      </c>
      <c r="B1" s="243" t="s">
        <v>33</v>
      </c>
      <c r="C1" s="246" t="s">
        <v>39</v>
      </c>
      <c r="D1" s="247"/>
      <c r="E1" s="247"/>
      <c r="F1" s="247"/>
      <c r="G1" s="247"/>
      <c r="H1" s="247"/>
      <c r="I1" s="247"/>
      <c r="J1" s="247"/>
      <c r="K1" s="248"/>
      <c r="L1" s="190" t="s">
        <v>45</v>
      </c>
      <c r="N1" s="240" t="s">
        <v>32</v>
      </c>
      <c r="O1" s="243" t="s">
        <v>33</v>
      </c>
      <c r="P1" s="246" t="s">
        <v>221</v>
      </c>
      <c r="Q1" s="247"/>
      <c r="R1" s="247"/>
      <c r="S1" s="247"/>
      <c r="T1" s="247"/>
      <c r="U1" s="247"/>
      <c r="V1" s="247"/>
      <c r="W1" s="247"/>
      <c r="X1" s="247"/>
      <c r="Y1" s="248"/>
      <c r="Z1" s="190" t="s">
        <v>45</v>
      </c>
    </row>
    <row r="2" spans="1:26" ht="136.5" customHeight="1">
      <c r="A2" s="241"/>
      <c r="B2" s="244"/>
      <c r="C2" s="244" t="s">
        <v>34</v>
      </c>
      <c r="D2" s="254" t="s">
        <v>35</v>
      </c>
      <c r="E2" s="244" t="s">
        <v>36</v>
      </c>
      <c r="F2" s="250"/>
      <c r="G2" s="244" t="s">
        <v>40</v>
      </c>
      <c r="H2" s="259" t="s">
        <v>41</v>
      </c>
      <c r="I2" s="193" t="s">
        <v>42</v>
      </c>
      <c r="J2" s="257" t="s">
        <v>43</v>
      </c>
      <c r="K2" s="193" t="s">
        <v>44</v>
      </c>
      <c r="L2" s="191"/>
      <c r="N2" s="241"/>
      <c r="O2" s="244"/>
      <c r="P2" s="193" t="s">
        <v>218</v>
      </c>
      <c r="Q2" s="184" t="s">
        <v>219</v>
      </c>
      <c r="R2" s="186" t="s">
        <v>220</v>
      </c>
      <c r="S2" s="188" t="s">
        <v>222</v>
      </c>
      <c r="T2" s="173"/>
      <c r="U2" s="193" t="s">
        <v>40</v>
      </c>
      <c r="V2" s="193" t="s">
        <v>223</v>
      </c>
      <c r="W2" s="193" t="s">
        <v>224</v>
      </c>
      <c r="X2" s="257" t="s">
        <v>43</v>
      </c>
      <c r="Y2" s="193" t="s">
        <v>44</v>
      </c>
      <c r="Z2" s="191"/>
    </row>
    <row r="3" spans="1:26" ht="60" customHeight="1" thickBot="1">
      <c r="A3" s="242"/>
      <c r="B3" s="245"/>
      <c r="C3" s="245"/>
      <c r="D3" s="255"/>
      <c r="E3" s="90" t="s">
        <v>37</v>
      </c>
      <c r="F3" s="89" t="s">
        <v>38</v>
      </c>
      <c r="G3" s="245"/>
      <c r="H3" s="260"/>
      <c r="I3" s="256"/>
      <c r="J3" s="258"/>
      <c r="K3" s="256"/>
      <c r="L3" s="249"/>
      <c r="N3" s="242"/>
      <c r="O3" s="245"/>
      <c r="P3" s="183"/>
      <c r="Q3" s="185"/>
      <c r="R3" s="187"/>
      <c r="S3" s="3" t="s">
        <v>37</v>
      </c>
      <c r="T3" s="3" t="s">
        <v>38</v>
      </c>
      <c r="U3" s="183"/>
      <c r="V3" s="183"/>
      <c r="W3" s="183"/>
      <c r="X3" s="258"/>
      <c r="Y3" s="256"/>
      <c r="Z3" s="192"/>
    </row>
    <row r="4" spans="1:26" ht="15" customHeight="1" thickBot="1">
      <c r="A4" s="85">
        <v>1</v>
      </c>
      <c r="B4" s="85">
        <v>2</v>
      </c>
      <c r="C4" s="85">
        <v>3</v>
      </c>
      <c r="D4" s="86">
        <v>4</v>
      </c>
      <c r="E4" s="86">
        <v>5</v>
      </c>
      <c r="F4" s="85">
        <v>6</v>
      </c>
      <c r="G4" s="85">
        <v>7</v>
      </c>
      <c r="H4" s="86">
        <v>8</v>
      </c>
      <c r="I4" s="85">
        <v>9</v>
      </c>
      <c r="J4" s="85">
        <v>10</v>
      </c>
      <c r="K4" s="87">
        <v>11</v>
      </c>
      <c r="L4" s="88">
        <v>12</v>
      </c>
      <c r="N4" s="48">
        <v>1</v>
      </c>
      <c r="O4" s="2">
        <v>2</v>
      </c>
      <c r="P4" s="2">
        <v>3</v>
      </c>
      <c r="Q4" s="172">
        <v>4</v>
      </c>
      <c r="R4" s="70">
        <v>5</v>
      </c>
      <c r="S4" s="2">
        <v>6</v>
      </c>
      <c r="T4" s="2">
        <v>7</v>
      </c>
      <c r="U4" s="2">
        <v>8</v>
      </c>
      <c r="V4" s="2">
        <v>9</v>
      </c>
      <c r="W4" s="2">
        <v>10</v>
      </c>
      <c r="X4" s="2">
        <v>11</v>
      </c>
      <c r="Y4" s="2">
        <v>12</v>
      </c>
      <c r="Z4" s="49">
        <v>13</v>
      </c>
    </row>
    <row r="5" spans="1:26" s="1" customFormat="1" ht="16.5" customHeight="1" thickBot="1">
      <c r="A5" s="178" t="s">
        <v>46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104"/>
      <c r="N5" s="178" t="s">
        <v>46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80"/>
    </row>
    <row r="6" spans="1:26" s="1" customFormat="1" ht="25.5">
      <c r="A6" s="4">
        <v>1</v>
      </c>
      <c r="B6" s="5" t="s">
        <v>154</v>
      </c>
      <c r="C6" s="6">
        <v>1</v>
      </c>
      <c r="D6" s="109">
        <v>0.47</v>
      </c>
      <c r="E6" s="58">
        <v>0.55</v>
      </c>
      <c r="F6" s="7">
        <v>120</v>
      </c>
      <c r="G6" s="8">
        <f>E6</f>
        <v>0.55</v>
      </c>
      <c r="H6" s="93">
        <v>0</v>
      </c>
      <c r="I6" s="52">
        <f>G6-H6</f>
        <v>0.55</v>
      </c>
      <c r="J6" s="8">
        <f>I6-D6</f>
        <v>0.08000000000000007</v>
      </c>
      <c r="K6" s="9">
        <f>J6</f>
        <v>0.08000000000000007</v>
      </c>
      <c r="L6" s="81" t="str">
        <f>IF(K6&lt;0,"closed","opened")</f>
        <v>opened</v>
      </c>
      <c r="M6" s="104"/>
      <c r="N6" s="165">
        <v>1</v>
      </c>
      <c r="O6" s="267" t="s">
        <v>154</v>
      </c>
      <c r="P6" s="166">
        <v>1</v>
      </c>
      <c r="Q6" s="167">
        <v>0.089</v>
      </c>
      <c r="R6" s="111">
        <f>Q6+Костромаэнерго!D6</f>
        <v>0.5589999999999999</v>
      </c>
      <c r="S6" s="168">
        <v>0.55</v>
      </c>
      <c r="T6" s="169">
        <v>120</v>
      </c>
      <c r="U6" s="114">
        <f>R6-S6</f>
        <v>0.008999999999999897</v>
      </c>
      <c r="V6" s="114">
        <v>0</v>
      </c>
      <c r="W6" s="114">
        <f>S6</f>
        <v>0.55</v>
      </c>
      <c r="X6" s="115">
        <f>W6-R6</f>
        <v>-0.008999999999999897</v>
      </c>
      <c r="Y6" s="114">
        <f>X6</f>
        <v>-0.008999999999999897</v>
      </c>
      <c r="Z6" s="170" t="str">
        <f>IF(Y6&lt;0,"closed","opened")</f>
        <v>closed</v>
      </c>
    </row>
    <row r="7" spans="1:26" s="1" customFormat="1" ht="25.5">
      <c r="A7" s="10">
        <v>2</v>
      </c>
      <c r="B7" s="11" t="s">
        <v>155</v>
      </c>
      <c r="C7" s="12">
        <v>1.8</v>
      </c>
      <c r="D7" s="109">
        <v>0.73</v>
      </c>
      <c r="E7" s="59">
        <v>1.2</v>
      </c>
      <c r="F7" s="14">
        <v>120</v>
      </c>
      <c r="G7" s="15">
        <f aca="true" t="shared" si="0" ref="G7:G69">E7</f>
        <v>1.2</v>
      </c>
      <c r="H7" s="93">
        <v>0</v>
      </c>
      <c r="I7" s="16">
        <f aca="true" t="shared" si="1" ref="I7:I69">G7-H7</f>
        <v>1.2</v>
      </c>
      <c r="J7" s="15">
        <f aca="true" t="shared" si="2" ref="J7:J69">I7-D7</f>
        <v>0.47</v>
      </c>
      <c r="K7" s="20">
        <f aca="true" t="shared" si="3" ref="K7:K38">J7</f>
        <v>0.47</v>
      </c>
      <c r="L7" s="84" t="str">
        <f>IF(K7&lt;0,"closed","opened")</f>
        <v>opened</v>
      </c>
      <c r="M7" s="104"/>
      <c r="N7" s="142">
        <v>2</v>
      </c>
      <c r="O7" s="11" t="s">
        <v>155</v>
      </c>
      <c r="P7" s="12">
        <v>1.8</v>
      </c>
      <c r="Q7" s="108">
        <v>0.262</v>
      </c>
      <c r="R7" s="145">
        <f>Q7+Костромаэнерго!D7</f>
        <v>0.992</v>
      </c>
      <c r="S7" s="13">
        <v>1.2</v>
      </c>
      <c r="T7" s="14">
        <v>120</v>
      </c>
      <c r="U7" s="50">
        <f aca="true" t="shared" si="4" ref="U7:U69">R7-S7</f>
        <v>-0.20799999999999996</v>
      </c>
      <c r="V7" s="50">
        <v>0</v>
      </c>
      <c r="W7" s="50">
        <f aca="true" t="shared" si="5" ref="W7:W69">S7</f>
        <v>1.2</v>
      </c>
      <c r="X7" s="21">
        <f aca="true" t="shared" si="6" ref="X7:X69">W7-R7</f>
        <v>0.20799999999999996</v>
      </c>
      <c r="Y7" s="50">
        <f aca="true" t="shared" si="7" ref="Y7:Y38">X7</f>
        <v>0.20799999999999996</v>
      </c>
      <c r="Z7" s="84" t="str">
        <f>IF(Y7&lt;0,"closed","opened")</f>
        <v>opened</v>
      </c>
    </row>
    <row r="8" spans="1:26" s="1" customFormat="1" ht="25.5">
      <c r="A8" s="10">
        <v>3</v>
      </c>
      <c r="B8" s="11" t="s">
        <v>156</v>
      </c>
      <c r="C8" s="12">
        <v>1.8</v>
      </c>
      <c r="D8" s="109">
        <v>0.15</v>
      </c>
      <c r="E8" s="59">
        <v>1.44</v>
      </c>
      <c r="F8" s="14">
        <v>120</v>
      </c>
      <c r="G8" s="19">
        <f t="shared" si="0"/>
        <v>1.44</v>
      </c>
      <c r="H8" s="93">
        <v>0</v>
      </c>
      <c r="I8" s="16">
        <f t="shared" si="1"/>
        <v>1.44</v>
      </c>
      <c r="J8" s="16">
        <f t="shared" si="2"/>
        <v>1.29</v>
      </c>
      <c r="K8" s="17">
        <f t="shared" si="3"/>
        <v>1.29</v>
      </c>
      <c r="L8" s="84" t="str">
        <f>IF(K8&lt;0,"closed","opened")</f>
        <v>opened</v>
      </c>
      <c r="M8" s="104"/>
      <c r="N8" s="142">
        <v>3</v>
      </c>
      <c r="O8" s="11" t="s">
        <v>156</v>
      </c>
      <c r="P8" s="12">
        <v>1.8</v>
      </c>
      <c r="Q8" s="108">
        <v>0.318</v>
      </c>
      <c r="R8" s="145">
        <f>Q8+Костромаэнерго!D8</f>
        <v>0.46799999999999997</v>
      </c>
      <c r="S8" s="13">
        <v>1.44</v>
      </c>
      <c r="T8" s="14">
        <v>120</v>
      </c>
      <c r="U8" s="50">
        <f t="shared" si="4"/>
        <v>-0.972</v>
      </c>
      <c r="V8" s="50">
        <v>0</v>
      </c>
      <c r="W8" s="50">
        <f t="shared" si="5"/>
        <v>1.44</v>
      </c>
      <c r="X8" s="21">
        <f t="shared" si="6"/>
        <v>0.972</v>
      </c>
      <c r="Y8" s="50">
        <f t="shared" si="7"/>
        <v>0.972</v>
      </c>
      <c r="Z8" s="84" t="str">
        <f>IF(Y8&lt;0,"closed","opened")</f>
        <v>opened</v>
      </c>
    </row>
    <row r="9" spans="1:26" s="1" customFormat="1" ht="25.5">
      <c r="A9" s="73">
        <v>4</v>
      </c>
      <c r="B9" s="11" t="s">
        <v>157</v>
      </c>
      <c r="C9" s="12">
        <v>2.5</v>
      </c>
      <c r="D9" s="108">
        <v>1.5</v>
      </c>
      <c r="E9" s="13">
        <v>1.5</v>
      </c>
      <c r="F9" s="14">
        <v>120</v>
      </c>
      <c r="G9" s="16">
        <f>E9</f>
        <v>1.5</v>
      </c>
      <c r="H9" s="16">
        <v>0</v>
      </c>
      <c r="I9" s="16">
        <f t="shared" si="1"/>
        <v>1.5</v>
      </c>
      <c r="J9" s="16">
        <f t="shared" si="2"/>
        <v>0</v>
      </c>
      <c r="K9" s="20">
        <f t="shared" si="3"/>
        <v>0</v>
      </c>
      <c r="L9" s="84" t="str">
        <f>IF(K9&lt;0,"closed","opened")</f>
        <v>opened</v>
      </c>
      <c r="M9" s="104"/>
      <c r="N9" s="139">
        <v>4</v>
      </c>
      <c r="O9" s="266" t="s">
        <v>157</v>
      </c>
      <c r="P9" s="110">
        <v>2.5</v>
      </c>
      <c r="Q9" s="167">
        <v>0.111</v>
      </c>
      <c r="R9" s="111">
        <f>Q9+Костромаэнерго!D9</f>
        <v>1.611</v>
      </c>
      <c r="S9" s="112">
        <v>1.5</v>
      </c>
      <c r="T9" s="113">
        <v>120</v>
      </c>
      <c r="U9" s="114">
        <f t="shared" si="4"/>
        <v>0.11099999999999999</v>
      </c>
      <c r="V9" s="114">
        <v>0</v>
      </c>
      <c r="W9" s="114">
        <f t="shared" si="5"/>
        <v>1.5</v>
      </c>
      <c r="X9" s="115">
        <f t="shared" si="6"/>
        <v>-0.11099999999999999</v>
      </c>
      <c r="Y9" s="114">
        <f t="shared" si="7"/>
        <v>-0.11099999999999999</v>
      </c>
      <c r="Z9" s="116" t="str">
        <f>IF(Y9&lt;0,"closed","opened")</f>
        <v>closed</v>
      </c>
    </row>
    <row r="10" spans="1:26" s="1" customFormat="1" ht="25.5">
      <c r="A10" s="10">
        <v>5</v>
      </c>
      <c r="B10" s="11" t="s">
        <v>158</v>
      </c>
      <c r="C10" s="12">
        <v>2.5</v>
      </c>
      <c r="D10" s="109">
        <v>0.25</v>
      </c>
      <c r="E10" s="59">
        <v>1.5</v>
      </c>
      <c r="F10" s="14">
        <v>120</v>
      </c>
      <c r="G10" s="15">
        <f t="shared" si="0"/>
        <v>1.5</v>
      </c>
      <c r="H10" s="93">
        <v>0</v>
      </c>
      <c r="I10" s="15">
        <f t="shared" si="1"/>
        <v>1.5</v>
      </c>
      <c r="J10" s="16">
        <f t="shared" si="2"/>
        <v>1.25</v>
      </c>
      <c r="K10" s="17">
        <f t="shared" si="3"/>
        <v>1.25</v>
      </c>
      <c r="L10" s="84" t="str">
        <f>IF(K10&lt;0,"closed","opened")</f>
        <v>opened</v>
      </c>
      <c r="M10" s="104"/>
      <c r="N10" s="142">
        <v>5</v>
      </c>
      <c r="O10" s="11" t="s">
        <v>158</v>
      </c>
      <c r="P10" s="12">
        <v>2.5</v>
      </c>
      <c r="Q10" s="108">
        <v>0</v>
      </c>
      <c r="R10" s="145">
        <f>Q10+Костромаэнерго!D10</f>
        <v>0.25</v>
      </c>
      <c r="S10" s="13">
        <v>1.5</v>
      </c>
      <c r="T10" s="14">
        <v>120</v>
      </c>
      <c r="U10" s="50">
        <f t="shared" si="4"/>
        <v>-1.25</v>
      </c>
      <c r="V10" s="50">
        <v>0</v>
      </c>
      <c r="W10" s="50">
        <f t="shared" si="5"/>
        <v>1.5</v>
      </c>
      <c r="X10" s="21">
        <f t="shared" si="6"/>
        <v>1.25</v>
      </c>
      <c r="Y10" s="50">
        <f t="shared" si="7"/>
        <v>1.25</v>
      </c>
      <c r="Z10" s="84" t="str">
        <f>IF(Y10&lt;0,"closed","opened")</f>
        <v>opened</v>
      </c>
    </row>
    <row r="11" spans="1:26" s="1" customFormat="1" ht="25.5">
      <c r="A11" s="10">
        <v>6</v>
      </c>
      <c r="B11" s="11" t="s">
        <v>159</v>
      </c>
      <c r="C11" s="12">
        <v>6.3</v>
      </c>
      <c r="D11" s="109">
        <v>0.47</v>
      </c>
      <c r="E11" s="59">
        <v>3.7</v>
      </c>
      <c r="F11" s="14">
        <v>120</v>
      </c>
      <c r="G11" s="19">
        <f t="shared" si="0"/>
        <v>3.7</v>
      </c>
      <c r="H11" s="93">
        <v>0</v>
      </c>
      <c r="I11" s="16">
        <f t="shared" si="1"/>
        <v>3.7</v>
      </c>
      <c r="J11" s="16">
        <f t="shared" si="2"/>
        <v>3.2300000000000004</v>
      </c>
      <c r="K11" s="21">
        <f t="shared" si="3"/>
        <v>3.2300000000000004</v>
      </c>
      <c r="L11" s="18" t="str">
        <f>IF(K11&lt;0,"closed","opened")</f>
        <v>opened</v>
      </c>
      <c r="M11" s="104"/>
      <c r="N11" s="142">
        <v>6</v>
      </c>
      <c r="O11" s="11" t="s">
        <v>159</v>
      </c>
      <c r="P11" s="12">
        <v>6.3</v>
      </c>
      <c r="Q11" s="108">
        <v>0.029</v>
      </c>
      <c r="R11" s="145">
        <f>Q11+Костромаэнерго!D11</f>
        <v>0.499</v>
      </c>
      <c r="S11" s="13">
        <v>3.7</v>
      </c>
      <c r="T11" s="14">
        <v>120</v>
      </c>
      <c r="U11" s="50">
        <f t="shared" si="4"/>
        <v>-3.201</v>
      </c>
      <c r="V11" s="50">
        <v>0</v>
      </c>
      <c r="W11" s="50">
        <f t="shared" si="5"/>
        <v>3.7</v>
      </c>
      <c r="X11" s="21">
        <f t="shared" si="6"/>
        <v>3.201</v>
      </c>
      <c r="Y11" s="50">
        <f t="shared" si="7"/>
        <v>3.201</v>
      </c>
      <c r="Z11" s="18" t="str">
        <f>IF(Y11&lt;0,"closed","opened")</f>
        <v>opened</v>
      </c>
    </row>
    <row r="12" spans="1:26" s="1" customFormat="1" ht="25.5">
      <c r="A12" s="10">
        <v>7</v>
      </c>
      <c r="B12" s="11" t="s">
        <v>160</v>
      </c>
      <c r="C12" s="12">
        <v>2.5</v>
      </c>
      <c r="D12" s="109">
        <v>0.27</v>
      </c>
      <c r="E12" s="59">
        <v>1.5</v>
      </c>
      <c r="F12" s="14">
        <v>120</v>
      </c>
      <c r="G12" s="19">
        <f t="shared" si="0"/>
        <v>1.5</v>
      </c>
      <c r="H12" s="93">
        <v>0</v>
      </c>
      <c r="I12" s="50">
        <f t="shared" si="1"/>
        <v>1.5</v>
      </c>
      <c r="J12" s="16">
        <f t="shared" si="2"/>
        <v>1.23</v>
      </c>
      <c r="K12" s="20">
        <f t="shared" si="3"/>
        <v>1.23</v>
      </c>
      <c r="L12" s="74" t="str">
        <f>IF(K12&lt;0,"closed","opened")</f>
        <v>opened</v>
      </c>
      <c r="M12" s="104"/>
      <c r="N12" s="142">
        <v>7</v>
      </c>
      <c r="O12" s="11" t="s">
        <v>160</v>
      </c>
      <c r="P12" s="12">
        <v>2.5</v>
      </c>
      <c r="Q12" s="108">
        <v>0.002</v>
      </c>
      <c r="R12" s="145">
        <f>Q12+Костромаэнерго!D12</f>
        <v>0.272</v>
      </c>
      <c r="S12" s="13">
        <v>1.5</v>
      </c>
      <c r="T12" s="14">
        <v>120</v>
      </c>
      <c r="U12" s="50">
        <f t="shared" si="4"/>
        <v>-1.228</v>
      </c>
      <c r="V12" s="50">
        <v>0</v>
      </c>
      <c r="W12" s="50">
        <f t="shared" si="5"/>
        <v>1.5</v>
      </c>
      <c r="X12" s="21">
        <f t="shared" si="6"/>
        <v>1.228</v>
      </c>
      <c r="Y12" s="50">
        <f t="shared" si="7"/>
        <v>1.228</v>
      </c>
      <c r="Z12" s="74" t="str">
        <f>IF(Y12&lt;0,"closed","opened")</f>
        <v>opened</v>
      </c>
    </row>
    <row r="13" spans="1:26" s="1" customFormat="1" ht="25.5">
      <c r="A13" s="10">
        <v>8</v>
      </c>
      <c r="B13" s="11" t="s">
        <v>161</v>
      </c>
      <c r="C13" s="12">
        <v>1.6</v>
      </c>
      <c r="D13" s="109">
        <v>0.14</v>
      </c>
      <c r="E13" s="59">
        <v>0.72</v>
      </c>
      <c r="F13" s="14">
        <v>120</v>
      </c>
      <c r="G13" s="19">
        <f t="shared" si="0"/>
        <v>0.72</v>
      </c>
      <c r="H13" s="93">
        <v>0</v>
      </c>
      <c r="I13" s="15">
        <f t="shared" si="1"/>
        <v>0.72</v>
      </c>
      <c r="J13" s="16">
        <f t="shared" si="2"/>
        <v>0.58</v>
      </c>
      <c r="K13" s="17">
        <f t="shared" si="3"/>
        <v>0.58</v>
      </c>
      <c r="L13" s="84" t="str">
        <f>IF(K13&lt;0,"closed","opened")</f>
        <v>opened</v>
      </c>
      <c r="M13" s="104"/>
      <c r="N13" s="142">
        <v>8</v>
      </c>
      <c r="O13" s="11" t="s">
        <v>161</v>
      </c>
      <c r="P13" s="12">
        <v>1.6</v>
      </c>
      <c r="Q13" s="108">
        <v>0.066</v>
      </c>
      <c r="R13" s="145">
        <f>Q13+Костромаэнерго!D13</f>
        <v>0.20600000000000002</v>
      </c>
      <c r="S13" s="13">
        <v>0.72</v>
      </c>
      <c r="T13" s="14">
        <v>120</v>
      </c>
      <c r="U13" s="50">
        <f t="shared" si="4"/>
        <v>-0.514</v>
      </c>
      <c r="V13" s="50">
        <v>0</v>
      </c>
      <c r="W13" s="50">
        <f t="shared" si="5"/>
        <v>0.72</v>
      </c>
      <c r="X13" s="21">
        <f t="shared" si="6"/>
        <v>0.514</v>
      </c>
      <c r="Y13" s="50">
        <f t="shared" si="7"/>
        <v>0.514</v>
      </c>
      <c r="Z13" s="84" t="str">
        <f>IF(Y13&lt;0,"closed","opened")</f>
        <v>opened</v>
      </c>
    </row>
    <row r="14" spans="1:26" s="1" customFormat="1" ht="25.5">
      <c r="A14" s="10">
        <v>9</v>
      </c>
      <c r="B14" s="11" t="s">
        <v>162</v>
      </c>
      <c r="C14" s="12">
        <v>4</v>
      </c>
      <c r="D14" s="109">
        <v>1.35</v>
      </c>
      <c r="E14" s="59">
        <v>2.6</v>
      </c>
      <c r="F14" s="14">
        <v>120</v>
      </c>
      <c r="G14" s="19">
        <f t="shared" si="0"/>
        <v>2.6</v>
      </c>
      <c r="H14" s="93">
        <v>0</v>
      </c>
      <c r="I14" s="16">
        <f t="shared" si="1"/>
        <v>2.6</v>
      </c>
      <c r="J14" s="16">
        <f t="shared" si="2"/>
        <v>1.25</v>
      </c>
      <c r="K14" s="17">
        <f t="shared" si="3"/>
        <v>1.25</v>
      </c>
      <c r="L14" s="18" t="str">
        <f>IF(K14&lt;0,"closed","opened")</f>
        <v>opened</v>
      </c>
      <c r="M14" s="104"/>
      <c r="N14" s="142">
        <v>9</v>
      </c>
      <c r="O14" s="11" t="s">
        <v>162</v>
      </c>
      <c r="P14" s="12">
        <v>4</v>
      </c>
      <c r="Q14" s="108">
        <v>0.903</v>
      </c>
      <c r="R14" s="145">
        <f>Q14+Костромаэнерго!D14</f>
        <v>2.253</v>
      </c>
      <c r="S14" s="13">
        <v>2.6</v>
      </c>
      <c r="T14" s="14">
        <v>120</v>
      </c>
      <c r="U14" s="50">
        <f t="shared" si="4"/>
        <v>-0.347</v>
      </c>
      <c r="V14" s="50">
        <v>0</v>
      </c>
      <c r="W14" s="50">
        <f t="shared" si="5"/>
        <v>2.6</v>
      </c>
      <c r="X14" s="21">
        <f t="shared" si="6"/>
        <v>0.347</v>
      </c>
      <c r="Y14" s="50">
        <f t="shared" si="7"/>
        <v>0.347</v>
      </c>
      <c r="Z14" s="18" t="str">
        <f>IF(Y14&lt;0,"closed","opened")</f>
        <v>opened</v>
      </c>
    </row>
    <row r="15" spans="1:26" s="1" customFormat="1" ht="25.5">
      <c r="A15" s="10">
        <v>10</v>
      </c>
      <c r="B15" s="11" t="s">
        <v>163</v>
      </c>
      <c r="C15" s="12">
        <v>10</v>
      </c>
      <c r="D15" s="109">
        <v>0.27</v>
      </c>
      <c r="E15" s="59">
        <v>4.6</v>
      </c>
      <c r="F15" s="14">
        <v>120</v>
      </c>
      <c r="G15" s="19">
        <f t="shared" si="0"/>
        <v>4.6</v>
      </c>
      <c r="H15" s="93">
        <v>0</v>
      </c>
      <c r="I15" s="16">
        <f t="shared" si="1"/>
        <v>4.6</v>
      </c>
      <c r="J15" s="16">
        <f t="shared" si="2"/>
        <v>4.33</v>
      </c>
      <c r="K15" s="17">
        <f t="shared" si="3"/>
        <v>4.33</v>
      </c>
      <c r="L15" s="74" t="str">
        <f>IF(K15&lt;0,"closed","opened")</f>
        <v>opened</v>
      </c>
      <c r="M15" s="104"/>
      <c r="N15" s="142">
        <v>10</v>
      </c>
      <c r="O15" s="11" t="s">
        <v>163</v>
      </c>
      <c r="P15" s="12">
        <v>10</v>
      </c>
      <c r="Q15" s="108">
        <v>0.011</v>
      </c>
      <c r="R15" s="145">
        <f>Q15+Костромаэнерго!D15</f>
        <v>0.281</v>
      </c>
      <c r="S15" s="13">
        <v>4.6</v>
      </c>
      <c r="T15" s="14">
        <v>120</v>
      </c>
      <c r="U15" s="50">
        <f t="shared" si="4"/>
        <v>-4.319</v>
      </c>
      <c r="V15" s="50">
        <v>0</v>
      </c>
      <c r="W15" s="50">
        <f t="shared" si="5"/>
        <v>4.6</v>
      </c>
      <c r="X15" s="21">
        <f t="shared" si="6"/>
        <v>4.319</v>
      </c>
      <c r="Y15" s="50">
        <f t="shared" si="7"/>
        <v>4.319</v>
      </c>
      <c r="Z15" s="74" t="str">
        <f>IF(Y15&lt;0,"closed","opened")</f>
        <v>opened</v>
      </c>
    </row>
    <row r="16" spans="1:26" s="1" customFormat="1" ht="25.5">
      <c r="A16" s="10">
        <v>11</v>
      </c>
      <c r="B16" s="11" t="s">
        <v>164</v>
      </c>
      <c r="C16" s="12">
        <v>2.5</v>
      </c>
      <c r="D16" s="109">
        <v>0.54</v>
      </c>
      <c r="E16" s="59">
        <v>1.38</v>
      </c>
      <c r="F16" s="14">
        <v>120</v>
      </c>
      <c r="G16" s="16">
        <f t="shared" si="0"/>
        <v>1.38</v>
      </c>
      <c r="H16" s="93">
        <v>0</v>
      </c>
      <c r="I16" s="16">
        <f t="shared" si="1"/>
        <v>1.38</v>
      </c>
      <c r="J16" s="16">
        <f t="shared" si="2"/>
        <v>0.8399999999999999</v>
      </c>
      <c r="K16" s="20">
        <f t="shared" si="3"/>
        <v>0.8399999999999999</v>
      </c>
      <c r="L16" s="84" t="str">
        <f>IF(K16&lt;0,"closed","opened")</f>
        <v>opened</v>
      </c>
      <c r="M16" s="104"/>
      <c r="N16" s="142">
        <v>11</v>
      </c>
      <c r="O16" s="11" t="s">
        <v>164</v>
      </c>
      <c r="P16" s="12">
        <v>2.5</v>
      </c>
      <c r="Q16" s="108">
        <v>0.318</v>
      </c>
      <c r="R16" s="145">
        <f>Q16+Костромаэнерго!D16</f>
        <v>0.8580000000000001</v>
      </c>
      <c r="S16" s="13">
        <v>1.38</v>
      </c>
      <c r="T16" s="14">
        <v>120</v>
      </c>
      <c r="U16" s="50">
        <f t="shared" si="4"/>
        <v>-0.5219999999999998</v>
      </c>
      <c r="V16" s="50">
        <v>0</v>
      </c>
      <c r="W16" s="50">
        <f t="shared" si="5"/>
        <v>1.38</v>
      </c>
      <c r="X16" s="21">
        <f t="shared" si="6"/>
        <v>0.5219999999999998</v>
      </c>
      <c r="Y16" s="50">
        <f t="shared" si="7"/>
        <v>0.5219999999999998</v>
      </c>
      <c r="Z16" s="84" t="str">
        <f>IF(Y16&lt;0,"closed","opened")</f>
        <v>opened</v>
      </c>
    </row>
    <row r="17" spans="1:26" s="1" customFormat="1" ht="25.5">
      <c r="A17" s="10">
        <v>12</v>
      </c>
      <c r="B17" s="11" t="s">
        <v>165</v>
      </c>
      <c r="C17" s="12">
        <v>1.6</v>
      </c>
      <c r="D17" s="109">
        <v>0.18</v>
      </c>
      <c r="E17" s="59">
        <v>0.93</v>
      </c>
      <c r="F17" s="14">
        <v>120</v>
      </c>
      <c r="G17" s="16">
        <f t="shared" si="0"/>
        <v>0.93</v>
      </c>
      <c r="H17" s="93">
        <v>0</v>
      </c>
      <c r="I17" s="16">
        <f t="shared" si="1"/>
        <v>0.93</v>
      </c>
      <c r="J17" s="16">
        <f t="shared" si="2"/>
        <v>0.75</v>
      </c>
      <c r="K17" s="17">
        <f t="shared" si="3"/>
        <v>0.75</v>
      </c>
      <c r="L17" s="18" t="str">
        <f>IF(K17&lt;0,"closed","opened")</f>
        <v>opened</v>
      </c>
      <c r="M17" s="104"/>
      <c r="N17" s="142">
        <v>12</v>
      </c>
      <c r="O17" s="11" t="s">
        <v>165</v>
      </c>
      <c r="P17" s="12">
        <v>1.6</v>
      </c>
      <c r="Q17" s="108">
        <v>0.018</v>
      </c>
      <c r="R17" s="145">
        <f>Q17+Костромаэнерго!D17</f>
        <v>0.19799999999999998</v>
      </c>
      <c r="S17" s="13">
        <v>0.93</v>
      </c>
      <c r="T17" s="14">
        <v>120</v>
      </c>
      <c r="U17" s="50">
        <f t="shared" si="4"/>
        <v>-0.7320000000000001</v>
      </c>
      <c r="V17" s="50">
        <v>0</v>
      </c>
      <c r="W17" s="50">
        <f t="shared" si="5"/>
        <v>0.93</v>
      </c>
      <c r="X17" s="21">
        <f t="shared" si="6"/>
        <v>0.7320000000000001</v>
      </c>
      <c r="Y17" s="50">
        <f t="shared" si="7"/>
        <v>0.7320000000000001</v>
      </c>
      <c r="Z17" s="18" t="str">
        <f>IF(Y17&lt;0,"closed","opened")</f>
        <v>opened</v>
      </c>
    </row>
    <row r="18" spans="1:26" s="1" customFormat="1" ht="25.5">
      <c r="A18" s="10">
        <v>13</v>
      </c>
      <c r="B18" s="11" t="s">
        <v>166</v>
      </c>
      <c r="C18" s="12">
        <v>1.6</v>
      </c>
      <c r="D18" s="109">
        <v>0.22</v>
      </c>
      <c r="E18" s="59">
        <v>0.88</v>
      </c>
      <c r="F18" s="14">
        <v>120</v>
      </c>
      <c r="G18" s="15">
        <f t="shared" si="0"/>
        <v>0.88</v>
      </c>
      <c r="H18" s="93">
        <v>0</v>
      </c>
      <c r="I18" s="16">
        <f t="shared" si="1"/>
        <v>0.88</v>
      </c>
      <c r="J18" s="16">
        <f t="shared" si="2"/>
        <v>0.66</v>
      </c>
      <c r="K18" s="17">
        <f t="shared" si="3"/>
        <v>0.66</v>
      </c>
      <c r="L18" s="74" t="str">
        <f>IF(K18&lt;0,"closed","opened")</f>
        <v>opened</v>
      </c>
      <c r="M18" s="104"/>
      <c r="N18" s="142">
        <v>13</v>
      </c>
      <c r="O18" s="11" t="s">
        <v>166</v>
      </c>
      <c r="P18" s="12">
        <v>1.6</v>
      </c>
      <c r="Q18" s="108">
        <v>0.124</v>
      </c>
      <c r="R18" s="145">
        <f>Q18+Костромаэнерго!D18</f>
        <v>0.344</v>
      </c>
      <c r="S18" s="13">
        <v>0.88</v>
      </c>
      <c r="T18" s="14">
        <v>120</v>
      </c>
      <c r="U18" s="50">
        <f t="shared" si="4"/>
        <v>-0.536</v>
      </c>
      <c r="V18" s="50">
        <v>0</v>
      </c>
      <c r="W18" s="50">
        <f t="shared" si="5"/>
        <v>0.88</v>
      </c>
      <c r="X18" s="21">
        <f t="shared" si="6"/>
        <v>0.536</v>
      </c>
      <c r="Y18" s="50">
        <f t="shared" si="7"/>
        <v>0.536</v>
      </c>
      <c r="Z18" s="74" t="str">
        <f>IF(Y18&lt;0,"closed","opened")</f>
        <v>opened</v>
      </c>
    </row>
    <row r="19" spans="1:26" s="1" customFormat="1" ht="25.5">
      <c r="A19" s="10">
        <v>14</v>
      </c>
      <c r="B19" s="11" t="s">
        <v>167</v>
      </c>
      <c r="C19" s="12">
        <v>2.5</v>
      </c>
      <c r="D19" s="109">
        <v>0.15</v>
      </c>
      <c r="E19" s="59">
        <v>0.98</v>
      </c>
      <c r="F19" s="14">
        <v>120</v>
      </c>
      <c r="G19" s="19">
        <f t="shared" si="0"/>
        <v>0.98</v>
      </c>
      <c r="H19" s="93">
        <v>0</v>
      </c>
      <c r="I19" s="15">
        <f t="shared" si="1"/>
        <v>0.98</v>
      </c>
      <c r="J19" s="16">
        <f t="shared" si="2"/>
        <v>0.83</v>
      </c>
      <c r="K19" s="17">
        <f t="shared" si="3"/>
        <v>0.83</v>
      </c>
      <c r="L19" s="18" t="str">
        <f>IF(K19&lt;0,"closed","opened")</f>
        <v>opened</v>
      </c>
      <c r="M19" s="104"/>
      <c r="N19" s="142">
        <v>14</v>
      </c>
      <c r="O19" s="11" t="s">
        <v>167</v>
      </c>
      <c r="P19" s="12">
        <v>2.5</v>
      </c>
      <c r="Q19" s="108">
        <v>0.302</v>
      </c>
      <c r="R19" s="145">
        <f>Q19+Костромаэнерго!D19</f>
        <v>0.45199999999999996</v>
      </c>
      <c r="S19" s="13">
        <v>0.98</v>
      </c>
      <c r="T19" s="14">
        <v>120</v>
      </c>
      <c r="U19" s="50">
        <f t="shared" si="4"/>
        <v>-0.528</v>
      </c>
      <c r="V19" s="50">
        <v>0</v>
      </c>
      <c r="W19" s="50">
        <f t="shared" si="5"/>
        <v>0.98</v>
      </c>
      <c r="X19" s="21">
        <f t="shared" si="6"/>
        <v>0.528</v>
      </c>
      <c r="Y19" s="50">
        <f t="shared" si="7"/>
        <v>0.528</v>
      </c>
      <c r="Z19" s="18" t="str">
        <f>IF(Y19&lt;0,"closed","opened")</f>
        <v>opened</v>
      </c>
    </row>
    <row r="20" spans="1:26" s="1" customFormat="1" ht="25.5">
      <c r="A20" s="10">
        <v>15</v>
      </c>
      <c r="B20" s="11" t="s">
        <v>168</v>
      </c>
      <c r="C20" s="12">
        <v>2.5</v>
      </c>
      <c r="D20" s="109">
        <v>0.47</v>
      </c>
      <c r="E20" s="59">
        <v>2.5</v>
      </c>
      <c r="F20" s="14" t="s">
        <v>225</v>
      </c>
      <c r="G20" s="19">
        <f t="shared" si="0"/>
        <v>2.5</v>
      </c>
      <c r="H20" s="93">
        <v>0</v>
      </c>
      <c r="I20" s="16">
        <f t="shared" si="1"/>
        <v>2.5</v>
      </c>
      <c r="J20" s="16">
        <f t="shared" si="2"/>
        <v>2.0300000000000002</v>
      </c>
      <c r="K20" s="17">
        <f t="shared" si="3"/>
        <v>2.0300000000000002</v>
      </c>
      <c r="L20" s="74" t="str">
        <f>IF(K20&lt;0,"closed","opened")</f>
        <v>opened</v>
      </c>
      <c r="M20" s="104"/>
      <c r="N20" s="142">
        <v>15</v>
      </c>
      <c r="O20" s="11" t="s">
        <v>168</v>
      </c>
      <c r="P20" s="12">
        <v>2.5</v>
      </c>
      <c r="Q20" s="108">
        <v>0.051</v>
      </c>
      <c r="R20" s="145">
        <f>Q20+Костромаэнерго!D20</f>
        <v>0.521</v>
      </c>
      <c r="S20" s="13">
        <v>2.5</v>
      </c>
      <c r="T20" s="14" t="s">
        <v>225</v>
      </c>
      <c r="U20" s="50">
        <f t="shared" si="4"/>
        <v>-1.979</v>
      </c>
      <c r="V20" s="50">
        <v>0</v>
      </c>
      <c r="W20" s="50">
        <f t="shared" si="5"/>
        <v>2.5</v>
      </c>
      <c r="X20" s="21">
        <f t="shared" si="6"/>
        <v>1.979</v>
      </c>
      <c r="Y20" s="50">
        <f t="shared" si="7"/>
        <v>1.979</v>
      </c>
      <c r="Z20" s="74" t="str">
        <f>IF(Y20&lt;0,"closed","opened")</f>
        <v>opened</v>
      </c>
    </row>
    <row r="21" spans="1:26" s="1" customFormat="1" ht="25.5">
      <c r="A21" s="10">
        <v>16</v>
      </c>
      <c r="B21" s="11" t="s">
        <v>169</v>
      </c>
      <c r="C21" s="12">
        <v>1.6</v>
      </c>
      <c r="D21" s="109">
        <v>0.09</v>
      </c>
      <c r="E21" s="59">
        <v>1.6</v>
      </c>
      <c r="F21" s="14" t="s">
        <v>225</v>
      </c>
      <c r="G21" s="16">
        <f t="shared" si="0"/>
        <v>1.6</v>
      </c>
      <c r="H21" s="93">
        <v>0</v>
      </c>
      <c r="I21" s="16">
        <f t="shared" si="1"/>
        <v>1.6</v>
      </c>
      <c r="J21" s="16">
        <f t="shared" si="2"/>
        <v>1.51</v>
      </c>
      <c r="K21" s="17">
        <f t="shared" si="3"/>
        <v>1.51</v>
      </c>
      <c r="L21" s="18" t="str">
        <f>IF(K21&lt;0,"closed","opened")</f>
        <v>opened</v>
      </c>
      <c r="M21" s="104"/>
      <c r="N21" s="142">
        <v>16</v>
      </c>
      <c r="O21" s="11" t="s">
        <v>169</v>
      </c>
      <c r="P21" s="12">
        <v>1.6</v>
      </c>
      <c r="Q21" s="108">
        <v>0</v>
      </c>
      <c r="R21" s="145">
        <f>Q21+Костромаэнерго!D21</f>
        <v>0.09</v>
      </c>
      <c r="S21" s="13">
        <v>1.6</v>
      </c>
      <c r="T21" s="14" t="s">
        <v>225</v>
      </c>
      <c r="U21" s="50">
        <f t="shared" si="4"/>
        <v>-1.51</v>
      </c>
      <c r="V21" s="50">
        <v>0</v>
      </c>
      <c r="W21" s="50">
        <f t="shared" si="5"/>
        <v>1.6</v>
      </c>
      <c r="X21" s="21">
        <f t="shared" si="6"/>
        <v>1.51</v>
      </c>
      <c r="Y21" s="50">
        <f t="shared" si="7"/>
        <v>1.51</v>
      </c>
      <c r="Z21" s="18" t="str">
        <f>IF(Y21&lt;0,"closed","opened")</f>
        <v>opened</v>
      </c>
    </row>
    <row r="22" spans="1:26" s="1" customFormat="1" ht="25.5">
      <c r="A22" s="10">
        <v>17</v>
      </c>
      <c r="B22" s="11" t="s">
        <v>170</v>
      </c>
      <c r="C22" s="12">
        <v>3.2</v>
      </c>
      <c r="D22" s="109">
        <v>0.1</v>
      </c>
      <c r="E22" s="59">
        <v>1.44</v>
      </c>
      <c r="F22" s="14">
        <v>120</v>
      </c>
      <c r="G22" s="15">
        <f t="shared" si="0"/>
        <v>1.44</v>
      </c>
      <c r="H22" s="93">
        <v>0</v>
      </c>
      <c r="I22" s="16">
        <f t="shared" si="1"/>
        <v>1.44</v>
      </c>
      <c r="J22" s="16">
        <f t="shared" si="2"/>
        <v>1.3399999999999999</v>
      </c>
      <c r="K22" s="20">
        <f t="shared" si="3"/>
        <v>1.3399999999999999</v>
      </c>
      <c r="L22" s="74" t="str">
        <f>IF(K22&lt;0,"closed","opened")</f>
        <v>opened</v>
      </c>
      <c r="M22" s="104"/>
      <c r="N22" s="142">
        <v>17</v>
      </c>
      <c r="O22" s="11" t="s">
        <v>170</v>
      </c>
      <c r="P22" s="12">
        <v>3.2</v>
      </c>
      <c r="Q22" s="108">
        <v>0</v>
      </c>
      <c r="R22" s="145">
        <f>Q22+Костромаэнерго!D22</f>
        <v>0.1</v>
      </c>
      <c r="S22" s="13">
        <v>1.44</v>
      </c>
      <c r="T22" s="14">
        <v>120</v>
      </c>
      <c r="U22" s="50">
        <f t="shared" si="4"/>
        <v>-1.3399999999999999</v>
      </c>
      <c r="V22" s="50">
        <v>0</v>
      </c>
      <c r="W22" s="50">
        <f t="shared" si="5"/>
        <v>1.44</v>
      </c>
      <c r="X22" s="21">
        <f t="shared" si="6"/>
        <v>1.3399999999999999</v>
      </c>
      <c r="Y22" s="50">
        <f t="shared" si="7"/>
        <v>1.3399999999999999</v>
      </c>
      <c r="Z22" s="74" t="str">
        <f>IF(Y22&lt;0,"closed","opened")</f>
        <v>opened</v>
      </c>
    </row>
    <row r="23" spans="1:26" s="1" customFormat="1" ht="25.5">
      <c r="A23" s="10">
        <v>18</v>
      </c>
      <c r="B23" s="11" t="s">
        <v>171</v>
      </c>
      <c r="C23" s="12">
        <v>2.5</v>
      </c>
      <c r="D23" s="109">
        <v>0.33</v>
      </c>
      <c r="E23" s="59">
        <v>0.43</v>
      </c>
      <c r="F23" s="14">
        <v>120</v>
      </c>
      <c r="G23" s="19">
        <f t="shared" si="0"/>
        <v>0.43</v>
      </c>
      <c r="H23" s="93">
        <v>0</v>
      </c>
      <c r="I23" s="16">
        <f t="shared" si="1"/>
        <v>0.43</v>
      </c>
      <c r="J23" s="16">
        <f t="shared" si="2"/>
        <v>0.09999999999999998</v>
      </c>
      <c r="K23" s="17">
        <f t="shared" si="3"/>
        <v>0.09999999999999998</v>
      </c>
      <c r="L23" s="84" t="str">
        <f>IF(K23&lt;0,"closed","opened")</f>
        <v>opened</v>
      </c>
      <c r="M23" s="104"/>
      <c r="N23" s="142">
        <v>18</v>
      </c>
      <c r="O23" s="11" t="s">
        <v>171</v>
      </c>
      <c r="P23" s="12">
        <v>2.5</v>
      </c>
      <c r="Q23" s="108">
        <v>0.006</v>
      </c>
      <c r="R23" s="145">
        <f>Q23+Костромаэнерго!D23</f>
        <v>0.336</v>
      </c>
      <c r="S23" s="13">
        <v>0.43</v>
      </c>
      <c r="T23" s="14">
        <v>120</v>
      </c>
      <c r="U23" s="50">
        <f t="shared" si="4"/>
        <v>-0.09399999999999997</v>
      </c>
      <c r="V23" s="50">
        <v>0</v>
      </c>
      <c r="W23" s="50">
        <f t="shared" si="5"/>
        <v>0.43</v>
      </c>
      <c r="X23" s="21">
        <f t="shared" si="6"/>
        <v>0.09399999999999997</v>
      </c>
      <c r="Y23" s="50">
        <f t="shared" si="7"/>
        <v>0.09399999999999997</v>
      </c>
      <c r="Z23" s="84" t="str">
        <f>IF(Y23&lt;0,"closed","opened")</f>
        <v>opened</v>
      </c>
    </row>
    <row r="24" spans="1:26" s="1" customFormat="1" ht="25.5">
      <c r="A24" s="10">
        <v>19</v>
      </c>
      <c r="B24" s="11" t="s">
        <v>172</v>
      </c>
      <c r="C24" s="12">
        <v>4</v>
      </c>
      <c r="D24" s="109">
        <v>0.32</v>
      </c>
      <c r="E24" s="59">
        <v>2.32</v>
      </c>
      <c r="F24" s="14">
        <v>120</v>
      </c>
      <c r="G24" s="16">
        <f t="shared" si="0"/>
        <v>2.32</v>
      </c>
      <c r="H24" s="93">
        <v>0</v>
      </c>
      <c r="I24" s="50">
        <f t="shared" si="1"/>
        <v>2.32</v>
      </c>
      <c r="J24" s="16">
        <f t="shared" si="2"/>
        <v>1.9999999999999998</v>
      </c>
      <c r="K24" s="17">
        <f t="shared" si="3"/>
        <v>1.9999999999999998</v>
      </c>
      <c r="L24" s="84" t="str">
        <f>IF(K24&lt;0,"closed","opened")</f>
        <v>opened</v>
      </c>
      <c r="M24" s="104"/>
      <c r="N24" s="142">
        <v>19</v>
      </c>
      <c r="O24" s="11" t="s">
        <v>172</v>
      </c>
      <c r="P24" s="12">
        <v>4</v>
      </c>
      <c r="Q24" s="108">
        <v>0.09</v>
      </c>
      <c r="R24" s="145">
        <f>Q24+Костромаэнерго!D24</f>
        <v>0.41000000000000003</v>
      </c>
      <c r="S24" s="13">
        <v>2.32</v>
      </c>
      <c r="T24" s="14">
        <v>120</v>
      </c>
      <c r="U24" s="50">
        <f t="shared" si="4"/>
        <v>-1.9099999999999997</v>
      </c>
      <c r="V24" s="50">
        <v>0</v>
      </c>
      <c r="W24" s="50">
        <f t="shared" si="5"/>
        <v>2.32</v>
      </c>
      <c r="X24" s="21">
        <f t="shared" si="6"/>
        <v>1.9099999999999997</v>
      </c>
      <c r="Y24" s="50">
        <f t="shared" si="7"/>
        <v>1.9099999999999997</v>
      </c>
      <c r="Z24" s="84" t="str">
        <f>IF(Y24&lt;0,"closed","opened")</f>
        <v>opened</v>
      </c>
    </row>
    <row r="25" spans="1:26" s="1" customFormat="1" ht="25.5">
      <c r="A25" s="10">
        <v>20</v>
      </c>
      <c r="B25" s="11" t="s">
        <v>173</v>
      </c>
      <c r="C25" s="12">
        <v>1</v>
      </c>
      <c r="D25" s="109">
        <v>0.11</v>
      </c>
      <c r="E25" s="59">
        <v>0.78</v>
      </c>
      <c r="F25" s="14">
        <v>120</v>
      </c>
      <c r="G25" s="15">
        <f t="shared" si="0"/>
        <v>0.78</v>
      </c>
      <c r="H25" s="93">
        <v>0</v>
      </c>
      <c r="I25" s="15">
        <f t="shared" si="1"/>
        <v>0.78</v>
      </c>
      <c r="J25" s="16">
        <f t="shared" si="2"/>
        <v>0.67</v>
      </c>
      <c r="K25" s="17">
        <f t="shared" si="3"/>
        <v>0.67</v>
      </c>
      <c r="L25" s="84" t="str">
        <f>IF(K25&lt;0,"closed","opened")</f>
        <v>opened</v>
      </c>
      <c r="M25" s="104"/>
      <c r="N25" s="142">
        <v>20</v>
      </c>
      <c r="O25" s="11" t="s">
        <v>173</v>
      </c>
      <c r="P25" s="12">
        <v>1</v>
      </c>
      <c r="Q25" s="108">
        <v>0</v>
      </c>
      <c r="R25" s="145">
        <f>Q25+Костромаэнерго!D25</f>
        <v>0.11</v>
      </c>
      <c r="S25" s="13">
        <v>0.78</v>
      </c>
      <c r="T25" s="14">
        <v>120</v>
      </c>
      <c r="U25" s="50">
        <f t="shared" si="4"/>
        <v>-0.67</v>
      </c>
      <c r="V25" s="50">
        <v>0</v>
      </c>
      <c r="W25" s="50">
        <f t="shared" si="5"/>
        <v>0.78</v>
      </c>
      <c r="X25" s="21">
        <f t="shared" si="6"/>
        <v>0.67</v>
      </c>
      <c r="Y25" s="50">
        <f t="shared" si="7"/>
        <v>0.67</v>
      </c>
      <c r="Z25" s="84" t="str">
        <f>IF(Y25&lt;0,"closed","opened")</f>
        <v>opened</v>
      </c>
    </row>
    <row r="26" spans="1:26" s="1" customFormat="1" ht="25.5">
      <c r="A26" s="10">
        <v>21</v>
      </c>
      <c r="B26" s="11" t="s">
        <v>174</v>
      </c>
      <c r="C26" s="12">
        <v>1</v>
      </c>
      <c r="D26" s="109">
        <v>0.11</v>
      </c>
      <c r="E26" s="59">
        <v>0.56</v>
      </c>
      <c r="F26" s="14">
        <v>120</v>
      </c>
      <c r="G26" s="19">
        <f t="shared" si="0"/>
        <v>0.56</v>
      </c>
      <c r="H26" s="93">
        <v>0</v>
      </c>
      <c r="I26" s="16">
        <f t="shared" si="1"/>
        <v>0.56</v>
      </c>
      <c r="J26" s="16">
        <f t="shared" si="2"/>
        <v>0.45000000000000007</v>
      </c>
      <c r="K26" s="17">
        <f t="shared" si="3"/>
        <v>0.45000000000000007</v>
      </c>
      <c r="L26" s="18" t="str">
        <f>IF(K26&lt;0,"closed","opened")</f>
        <v>opened</v>
      </c>
      <c r="M26" s="104"/>
      <c r="N26" s="142">
        <v>21</v>
      </c>
      <c r="O26" s="11" t="s">
        <v>174</v>
      </c>
      <c r="P26" s="12">
        <v>1</v>
      </c>
      <c r="Q26" s="108">
        <v>0</v>
      </c>
      <c r="R26" s="145">
        <f>Q26+Костромаэнерго!D26</f>
        <v>0.11</v>
      </c>
      <c r="S26" s="13">
        <v>0.56</v>
      </c>
      <c r="T26" s="14">
        <v>120</v>
      </c>
      <c r="U26" s="50">
        <f t="shared" si="4"/>
        <v>-0.45000000000000007</v>
      </c>
      <c r="V26" s="50">
        <v>0</v>
      </c>
      <c r="W26" s="50">
        <f t="shared" si="5"/>
        <v>0.56</v>
      </c>
      <c r="X26" s="21">
        <f t="shared" si="6"/>
        <v>0.45000000000000007</v>
      </c>
      <c r="Y26" s="50">
        <f t="shared" si="7"/>
        <v>0.45000000000000007</v>
      </c>
      <c r="Z26" s="18" t="str">
        <f>IF(Y26&lt;0,"closed","opened")</f>
        <v>opened</v>
      </c>
    </row>
    <row r="27" spans="1:26" s="1" customFormat="1" ht="25.5">
      <c r="A27" s="10">
        <v>22</v>
      </c>
      <c r="B27" s="11" t="s">
        <v>175</v>
      </c>
      <c r="C27" s="12">
        <v>1.6</v>
      </c>
      <c r="D27" s="109">
        <v>0.28</v>
      </c>
      <c r="E27" s="59">
        <v>1.6</v>
      </c>
      <c r="F27" s="14" t="s">
        <v>225</v>
      </c>
      <c r="G27" s="19">
        <f t="shared" si="0"/>
        <v>1.6</v>
      </c>
      <c r="H27" s="93">
        <v>0</v>
      </c>
      <c r="I27" s="15">
        <f t="shared" si="1"/>
        <v>1.6</v>
      </c>
      <c r="J27" s="16">
        <f t="shared" si="2"/>
        <v>1.32</v>
      </c>
      <c r="K27" s="21">
        <f t="shared" si="3"/>
        <v>1.32</v>
      </c>
      <c r="L27" s="74" t="str">
        <f>IF(K27&lt;0,"closed","opened")</f>
        <v>opened</v>
      </c>
      <c r="M27" s="104"/>
      <c r="N27" s="142">
        <v>22</v>
      </c>
      <c r="O27" s="11" t="s">
        <v>175</v>
      </c>
      <c r="P27" s="12">
        <v>1.6</v>
      </c>
      <c r="Q27" s="108">
        <v>0</v>
      </c>
      <c r="R27" s="145">
        <f>Q27+Костромаэнерго!D27</f>
        <v>0.28</v>
      </c>
      <c r="S27" s="13">
        <v>1.6</v>
      </c>
      <c r="T27" s="14" t="s">
        <v>225</v>
      </c>
      <c r="U27" s="50">
        <f t="shared" si="4"/>
        <v>-1.32</v>
      </c>
      <c r="V27" s="50">
        <v>0</v>
      </c>
      <c r="W27" s="50">
        <f t="shared" si="5"/>
        <v>1.6</v>
      </c>
      <c r="X27" s="21">
        <f t="shared" si="6"/>
        <v>1.32</v>
      </c>
      <c r="Y27" s="50">
        <f t="shared" si="7"/>
        <v>1.32</v>
      </c>
      <c r="Z27" s="74" t="str">
        <f>IF(Y27&lt;0,"closed","opened")</f>
        <v>opened</v>
      </c>
    </row>
    <row r="28" spans="1:26" s="1" customFormat="1" ht="25.5">
      <c r="A28" s="10">
        <v>23</v>
      </c>
      <c r="B28" s="11" t="s">
        <v>176</v>
      </c>
      <c r="C28" s="12">
        <v>1</v>
      </c>
      <c r="D28" s="109">
        <v>0.09</v>
      </c>
      <c r="E28" s="59">
        <v>0.65</v>
      </c>
      <c r="F28" s="14">
        <v>120</v>
      </c>
      <c r="G28" s="19">
        <f t="shared" si="0"/>
        <v>0.65</v>
      </c>
      <c r="H28" s="93">
        <v>0</v>
      </c>
      <c r="I28" s="16">
        <f t="shared" si="1"/>
        <v>0.65</v>
      </c>
      <c r="J28" s="16">
        <f t="shared" si="2"/>
        <v>0.56</v>
      </c>
      <c r="K28" s="20">
        <f t="shared" si="3"/>
        <v>0.56</v>
      </c>
      <c r="L28" s="18" t="str">
        <f>IF(K28&lt;0,"closed","opened")</f>
        <v>opened</v>
      </c>
      <c r="M28" s="104"/>
      <c r="N28" s="142">
        <v>23</v>
      </c>
      <c r="O28" s="11" t="s">
        <v>176</v>
      </c>
      <c r="P28" s="12">
        <v>1</v>
      </c>
      <c r="Q28" s="108">
        <v>0</v>
      </c>
      <c r="R28" s="145">
        <f>Q28+Костромаэнерго!D28</f>
        <v>0.09</v>
      </c>
      <c r="S28" s="13">
        <v>0.65</v>
      </c>
      <c r="T28" s="14">
        <v>120</v>
      </c>
      <c r="U28" s="50">
        <f t="shared" si="4"/>
        <v>-0.56</v>
      </c>
      <c r="V28" s="50">
        <v>0</v>
      </c>
      <c r="W28" s="50">
        <f t="shared" si="5"/>
        <v>0.65</v>
      </c>
      <c r="X28" s="21">
        <f t="shared" si="6"/>
        <v>0.56</v>
      </c>
      <c r="Y28" s="50">
        <f t="shared" si="7"/>
        <v>0.56</v>
      </c>
      <c r="Z28" s="18" t="str">
        <f>IF(Y28&lt;0,"closed","opened")</f>
        <v>opened</v>
      </c>
    </row>
    <row r="29" spans="1:26" s="1" customFormat="1" ht="25.5">
      <c r="A29" s="10">
        <v>24</v>
      </c>
      <c r="B29" s="11" t="s">
        <v>177</v>
      </c>
      <c r="C29" s="12">
        <v>2.5</v>
      </c>
      <c r="D29" s="109">
        <v>0.19</v>
      </c>
      <c r="E29" s="59">
        <v>1.38</v>
      </c>
      <c r="F29" s="14">
        <v>120</v>
      </c>
      <c r="G29" s="19">
        <f t="shared" si="0"/>
        <v>1.38</v>
      </c>
      <c r="H29" s="93">
        <v>0</v>
      </c>
      <c r="I29" s="16">
        <f t="shared" si="1"/>
        <v>1.38</v>
      </c>
      <c r="J29" s="16">
        <f t="shared" si="2"/>
        <v>1.19</v>
      </c>
      <c r="K29" s="17">
        <f t="shared" si="3"/>
        <v>1.19</v>
      </c>
      <c r="L29" s="74" t="str">
        <f>IF(K29&lt;0,"closed","opened")</f>
        <v>opened</v>
      </c>
      <c r="M29" s="104"/>
      <c r="N29" s="142">
        <v>24</v>
      </c>
      <c r="O29" s="11" t="s">
        <v>177</v>
      </c>
      <c r="P29" s="12">
        <v>2.5</v>
      </c>
      <c r="Q29" s="108">
        <v>0.023</v>
      </c>
      <c r="R29" s="145">
        <f>Q29+Костромаэнерго!D29</f>
        <v>0.213</v>
      </c>
      <c r="S29" s="13">
        <v>1.38</v>
      </c>
      <c r="T29" s="14">
        <v>120</v>
      </c>
      <c r="U29" s="50">
        <f t="shared" si="4"/>
        <v>-1.1669999999999998</v>
      </c>
      <c r="V29" s="50">
        <v>0</v>
      </c>
      <c r="W29" s="50">
        <f t="shared" si="5"/>
        <v>1.38</v>
      </c>
      <c r="X29" s="21">
        <f t="shared" si="6"/>
        <v>1.1669999999999998</v>
      </c>
      <c r="Y29" s="50">
        <f t="shared" si="7"/>
        <v>1.1669999999999998</v>
      </c>
      <c r="Z29" s="74" t="str">
        <f>IF(Y29&lt;0,"closed","opened")</f>
        <v>opened</v>
      </c>
    </row>
    <row r="30" spans="1:26" s="1" customFormat="1" ht="25.5">
      <c r="A30" s="10">
        <v>25</v>
      </c>
      <c r="B30" s="11" t="s">
        <v>178</v>
      </c>
      <c r="C30" s="12">
        <v>2.5</v>
      </c>
      <c r="D30" s="109">
        <v>0.15</v>
      </c>
      <c r="E30" s="59">
        <v>1.5</v>
      </c>
      <c r="F30" s="14">
        <v>120</v>
      </c>
      <c r="G30" s="19">
        <f t="shared" si="0"/>
        <v>1.5</v>
      </c>
      <c r="H30" s="93">
        <v>0</v>
      </c>
      <c r="I30" s="16">
        <f t="shared" si="1"/>
        <v>1.5</v>
      </c>
      <c r="J30" s="16">
        <f t="shared" si="2"/>
        <v>1.35</v>
      </c>
      <c r="K30" s="17">
        <f t="shared" si="3"/>
        <v>1.35</v>
      </c>
      <c r="L30" s="84" t="str">
        <f>IF(K30&lt;0,"closed","opened")</f>
        <v>opened</v>
      </c>
      <c r="M30" s="104"/>
      <c r="N30" s="142">
        <v>25</v>
      </c>
      <c r="O30" s="11" t="s">
        <v>178</v>
      </c>
      <c r="P30" s="12">
        <v>2.5</v>
      </c>
      <c r="Q30" s="108">
        <v>0</v>
      </c>
      <c r="R30" s="145">
        <f>Q30+Костромаэнерго!D30</f>
        <v>0.15</v>
      </c>
      <c r="S30" s="13">
        <v>1.5</v>
      </c>
      <c r="T30" s="14">
        <v>120</v>
      </c>
      <c r="U30" s="50">
        <f t="shared" si="4"/>
        <v>-1.35</v>
      </c>
      <c r="V30" s="50">
        <v>0</v>
      </c>
      <c r="W30" s="50">
        <f t="shared" si="5"/>
        <v>1.5</v>
      </c>
      <c r="X30" s="21">
        <f t="shared" si="6"/>
        <v>1.35</v>
      </c>
      <c r="Y30" s="50">
        <f t="shared" si="7"/>
        <v>1.35</v>
      </c>
      <c r="Z30" s="84" t="str">
        <f>IF(Y30&lt;0,"closed","opened")</f>
        <v>opened</v>
      </c>
    </row>
    <row r="31" spans="1:26" s="1" customFormat="1" ht="25.5">
      <c r="A31" s="10">
        <v>26</v>
      </c>
      <c r="B31" s="11" t="s">
        <v>179</v>
      </c>
      <c r="C31" s="12">
        <v>1</v>
      </c>
      <c r="D31" s="109">
        <v>0.06</v>
      </c>
      <c r="E31" s="59">
        <v>0.39</v>
      </c>
      <c r="F31" s="14">
        <v>120</v>
      </c>
      <c r="G31" s="19">
        <f t="shared" si="0"/>
        <v>0.39</v>
      </c>
      <c r="H31" s="93">
        <v>0</v>
      </c>
      <c r="I31" s="16">
        <f t="shared" si="1"/>
        <v>0.39</v>
      </c>
      <c r="J31" s="16">
        <f t="shared" si="2"/>
        <v>0.33</v>
      </c>
      <c r="K31" s="17">
        <f t="shared" si="3"/>
        <v>0.33</v>
      </c>
      <c r="L31" s="18" t="str">
        <f>IF(K31&lt;0,"closed","opened")</f>
        <v>opened</v>
      </c>
      <c r="M31" s="104"/>
      <c r="N31" s="142">
        <v>26</v>
      </c>
      <c r="O31" s="11" t="s">
        <v>179</v>
      </c>
      <c r="P31" s="12">
        <v>1</v>
      </c>
      <c r="Q31" s="108">
        <v>0.017</v>
      </c>
      <c r="R31" s="145">
        <f>Q31+Костромаэнерго!D31</f>
        <v>0.077</v>
      </c>
      <c r="S31" s="13">
        <v>0.39</v>
      </c>
      <c r="T31" s="14">
        <v>120</v>
      </c>
      <c r="U31" s="50">
        <f t="shared" si="4"/>
        <v>-0.313</v>
      </c>
      <c r="V31" s="50">
        <v>0</v>
      </c>
      <c r="W31" s="50">
        <f t="shared" si="5"/>
        <v>0.39</v>
      </c>
      <c r="X31" s="21">
        <f t="shared" si="6"/>
        <v>0.313</v>
      </c>
      <c r="Y31" s="50">
        <f t="shared" si="7"/>
        <v>0.313</v>
      </c>
      <c r="Z31" s="18" t="str">
        <f>IF(Y31&lt;0,"closed","opened")</f>
        <v>opened</v>
      </c>
    </row>
    <row r="32" spans="1:26" s="1" customFormat="1" ht="25.5">
      <c r="A32" s="10">
        <v>27</v>
      </c>
      <c r="B32" s="11" t="s">
        <v>180</v>
      </c>
      <c r="C32" s="12">
        <v>1.6</v>
      </c>
      <c r="D32" s="109">
        <v>0.32</v>
      </c>
      <c r="E32" s="59">
        <v>0.77</v>
      </c>
      <c r="F32" s="14">
        <v>120</v>
      </c>
      <c r="G32" s="19">
        <f t="shared" si="0"/>
        <v>0.77</v>
      </c>
      <c r="H32" s="93">
        <v>0</v>
      </c>
      <c r="I32" s="15">
        <f t="shared" si="1"/>
        <v>0.77</v>
      </c>
      <c r="J32" s="16">
        <f t="shared" si="2"/>
        <v>0.45</v>
      </c>
      <c r="K32" s="17">
        <f t="shared" si="3"/>
        <v>0.45</v>
      </c>
      <c r="L32" s="74" t="str">
        <f>IF(K32&lt;0,"closed","opened")</f>
        <v>opened</v>
      </c>
      <c r="M32" s="104"/>
      <c r="N32" s="142">
        <v>27</v>
      </c>
      <c r="O32" s="11" t="s">
        <v>180</v>
      </c>
      <c r="P32" s="12">
        <v>1.6</v>
      </c>
      <c r="Q32" s="108">
        <v>0</v>
      </c>
      <c r="R32" s="145">
        <f>Q32+Костромаэнерго!D32</f>
        <v>0.32</v>
      </c>
      <c r="S32" s="13">
        <v>0.77</v>
      </c>
      <c r="T32" s="91">
        <v>120</v>
      </c>
      <c r="U32" s="50">
        <f t="shared" si="4"/>
        <v>-0.45</v>
      </c>
      <c r="V32" s="50">
        <v>0</v>
      </c>
      <c r="W32" s="50">
        <f t="shared" si="5"/>
        <v>0.77</v>
      </c>
      <c r="X32" s="21">
        <f t="shared" si="6"/>
        <v>0.45</v>
      </c>
      <c r="Y32" s="50">
        <f t="shared" si="7"/>
        <v>0.45</v>
      </c>
      <c r="Z32" s="74" t="str">
        <f>IF(Y32&lt;0,"closed","opened")</f>
        <v>opened</v>
      </c>
    </row>
    <row r="33" spans="1:26" s="1" customFormat="1" ht="25.5">
      <c r="A33" s="10">
        <v>28</v>
      </c>
      <c r="B33" s="11" t="s">
        <v>181</v>
      </c>
      <c r="C33" s="12">
        <v>1</v>
      </c>
      <c r="D33" s="109">
        <v>0.13</v>
      </c>
      <c r="E33" s="59">
        <v>0.26</v>
      </c>
      <c r="F33" s="14">
        <v>120</v>
      </c>
      <c r="G33" s="19">
        <f t="shared" si="0"/>
        <v>0.26</v>
      </c>
      <c r="H33" s="93">
        <v>0</v>
      </c>
      <c r="I33" s="16">
        <f t="shared" si="1"/>
        <v>0.26</v>
      </c>
      <c r="J33" s="16">
        <f t="shared" si="2"/>
        <v>0.13</v>
      </c>
      <c r="K33" s="17">
        <f t="shared" si="3"/>
        <v>0.13</v>
      </c>
      <c r="L33" s="18" t="str">
        <f>IF(K33&lt;0,"closed","opened")</f>
        <v>opened</v>
      </c>
      <c r="M33" s="104"/>
      <c r="N33" s="142">
        <v>28</v>
      </c>
      <c r="O33" s="11" t="s">
        <v>181</v>
      </c>
      <c r="P33" s="12">
        <v>1</v>
      </c>
      <c r="Q33" s="108">
        <v>0</v>
      </c>
      <c r="R33" s="145">
        <f>Q33+Костромаэнерго!D33</f>
        <v>0.13</v>
      </c>
      <c r="S33" s="13">
        <v>0.26</v>
      </c>
      <c r="T33" s="14">
        <v>120</v>
      </c>
      <c r="U33" s="50">
        <f t="shared" si="4"/>
        <v>-0.13</v>
      </c>
      <c r="V33" s="50">
        <v>0</v>
      </c>
      <c r="W33" s="50">
        <f t="shared" si="5"/>
        <v>0.26</v>
      </c>
      <c r="X33" s="21">
        <f t="shared" si="6"/>
        <v>0.13</v>
      </c>
      <c r="Y33" s="50">
        <f t="shared" si="7"/>
        <v>0.13</v>
      </c>
      <c r="Z33" s="18" t="str">
        <f>IF(Y33&lt;0,"closed","opened")</f>
        <v>opened</v>
      </c>
    </row>
    <row r="34" spans="1:26" s="1" customFormat="1" ht="25.5">
      <c r="A34" s="10">
        <v>29</v>
      </c>
      <c r="B34" s="11" t="s">
        <v>182</v>
      </c>
      <c r="C34" s="12">
        <v>2.5</v>
      </c>
      <c r="D34" s="109">
        <v>0.31</v>
      </c>
      <c r="E34" s="59">
        <v>1.1</v>
      </c>
      <c r="F34" s="14">
        <v>120</v>
      </c>
      <c r="G34" s="19">
        <f t="shared" si="0"/>
        <v>1.1</v>
      </c>
      <c r="H34" s="93">
        <v>0</v>
      </c>
      <c r="I34" s="16">
        <f t="shared" si="1"/>
        <v>1.1</v>
      </c>
      <c r="J34" s="16">
        <f t="shared" si="2"/>
        <v>0.79</v>
      </c>
      <c r="K34" s="17">
        <f t="shared" si="3"/>
        <v>0.79</v>
      </c>
      <c r="L34" s="18" t="str">
        <f>IF(K34&lt;0,"closed","opened")</f>
        <v>opened</v>
      </c>
      <c r="M34" s="104"/>
      <c r="N34" s="142">
        <v>29</v>
      </c>
      <c r="O34" s="11" t="s">
        <v>182</v>
      </c>
      <c r="P34" s="12">
        <v>2.5</v>
      </c>
      <c r="Q34" s="108">
        <v>0</v>
      </c>
      <c r="R34" s="145">
        <f>Q34+Костромаэнерго!D34</f>
        <v>0.31</v>
      </c>
      <c r="S34" s="13">
        <v>1.1</v>
      </c>
      <c r="T34" s="14">
        <v>120</v>
      </c>
      <c r="U34" s="50">
        <f t="shared" si="4"/>
        <v>-0.79</v>
      </c>
      <c r="V34" s="50">
        <v>0</v>
      </c>
      <c r="W34" s="50">
        <f t="shared" si="5"/>
        <v>1.1</v>
      </c>
      <c r="X34" s="21">
        <f t="shared" si="6"/>
        <v>0.79</v>
      </c>
      <c r="Y34" s="50">
        <f t="shared" si="7"/>
        <v>0.79</v>
      </c>
      <c r="Z34" s="18" t="str">
        <f>IF(Y34&lt;0,"closed","opened")</f>
        <v>opened</v>
      </c>
    </row>
    <row r="35" spans="1:26" s="1" customFormat="1" ht="25.5">
      <c r="A35" s="10">
        <v>30</v>
      </c>
      <c r="B35" s="11" t="s">
        <v>183</v>
      </c>
      <c r="C35" s="12">
        <v>2.5</v>
      </c>
      <c r="D35" s="109">
        <v>0.05</v>
      </c>
      <c r="E35" s="59">
        <v>0.85</v>
      </c>
      <c r="F35" s="14">
        <v>120</v>
      </c>
      <c r="G35" s="16">
        <f t="shared" si="0"/>
        <v>0.85</v>
      </c>
      <c r="H35" s="93">
        <v>0</v>
      </c>
      <c r="I35" s="16">
        <f t="shared" si="1"/>
        <v>0.85</v>
      </c>
      <c r="J35" s="16">
        <f t="shared" si="2"/>
        <v>0.7999999999999999</v>
      </c>
      <c r="K35" s="17">
        <f t="shared" si="3"/>
        <v>0.7999999999999999</v>
      </c>
      <c r="L35" s="74" t="str">
        <f>IF(K35&lt;0,"closed","opened")</f>
        <v>opened</v>
      </c>
      <c r="M35" s="104"/>
      <c r="N35" s="142">
        <v>30</v>
      </c>
      <c r="O35" s="11" t="s">
        <v>183</v>
      </c>
      <c r="P35" s="12">
        <v>2.5</v>
      </c>
      <c r="Q35" s="108">
        <v>0</v>
      </c>
      <c r="R35" s="145">
        <f>Q35+Костромаэнерго!D35</f>
        <v>0.05</v>
      </c>
      <c r="S35" s="13">
        <v>0.85</v>
      </c>
      <c r="T35" s="14">
        <v>120</v>
      </c>
      <c r="U35" s="50">
        <f t="shared" si="4"/>
        <v>-0.7999999999999999</v>
      </c>
      <c r="V35" s="50">
        <v>0</v>
      </c>
      <c r="W35" s="50">
        <f t="shared" si="5"/>
        <v>0.85</v>
      </c>
      <c r="X35" s="21">
        <f t="shared" si="6"/>
        <v>0.7999999999999999</v>
      </c>
      <c r="Y35" s="50">
        <f t="shared" si="7"/>
        <v>0.7999999999999999</v>
      </c>
      <c r="Z35" s="74" t="str">
        <f>IF(Y35&lt;0,"closed","opened")</f>
        <v>opened</v>
      </c>
    </row>
    <row r="36" spans="1:26" s="1" customFormat="1" ht="25.5">
      <c r="A36" s="10">
        <v>31</v>
      </c>
      <c r="B36" s="11" t="s">
        <v>184</v>
      </c>
      <c r="C36" s="12">
        <v>1.6</v>
      </c>
      <c r="D36" s="109">
        <v>0.29</v>
      </c>
      <c r="E36" s="59">
        <v>0.74</v>
      </c>
      <c r="F36" s="14">
        <v>120</v>
      </c>
      <c r="G36" s="16">
        <f t="shared" si="0"/>
        <v>0.74</v>
      </c>
      <c r="H36" s="93">
        <v>0</v>
      </c>
      <c r="I36" s="50">
        <f t="shared" si="1"/>
        <v>0.74</v>
      </c>
      <c r="J36" s="16">
        <f t="shared" si="2"/>
        <v>0.45</v>
      </c>
      <c r="K36" s="17">
        <f t="shared" si="3"/>
        <v>0.45</v>
      </c>
      <c r="L36" s="84" t="str">
        <f>IF(K36&lt;0,"закрыт","открыт")</f>
        <v>открыт</v>
      </c>
      <c r="M36" s="104"/>
      <c r="N36" s="142">
        <v>31</v>
      </c>
      <c r="O36" s="11" t="s">
        <v>184</v>
      </c>
      <c r="P36" s="12">
        <v>1.6</v>
      </c>
      <c r="Q36" s="108">
        <v>0.077</v>
      </c>
      <c r="R36" s="145">
        <f>Q36+Костромаэнерго!D36</f>
        <v>0.367</v>
      </c>
      <c r="S36" s="13">
        <v>0.74</v>
      </c>
      <c r="T36" s="14">
        <v>120</v>
      </c>
      <c r="U36" s="50">
        <f t="shared" si="4"/>
        <v>-0.373</v>
      </c>
      <c r="V36" s="50">
        <v>0</v>
      </c>
      <c r="W36" s="50">
        <f t="shared" si="5"/>
        <v>0.74</v>
      </c>
      <c r="X36" s="21">
        <f t="shared" si="6"/>
        <v>0.373</v>
      </c>
      <c r="Y36" s="50">
        <f t="shared" si="7"/>
        <v>0.373</v>
      </c>
      <c r="Z36" s="84" t="str">
        <f>IF(Y36&lt;0,"closed","opened")</f>
        <v>opened</v>
      </c>
    </row>
    <row r="37" spans="1:26" s="1" customFormat="1" ht="25.5">
      <c r="A37" s="10">
        <v>32</v>
      </c>
      <c r="B37" s="11" t="s">
        <v>185</v>
      </c>
      <c r="C37" s="12">
        <v>1.6</v>
      </c>
      <c r="D37" s="109">
        <v>0.16</v>
      </c>
      <c r="E37" s="59">
        <v>0.9</v>
      </c>
      <c r="F37" s="14">
        <v>120</v>
      </c>
      <c r="G37" s="16">
        <f t="shared" si="0"/>
        <v>0.9</v>
      </c>
      <c r="H37" s="93">
        <v>0</v>
      </c>
      <c r="I37" s="15">
        <f t="shared" si="1"/>
        <v>0.9</v>
      </c>
      <c r="J37" s="16">
        <f t="shared" si="2"/>
        <v>0.74</v>
      </c>
      <c r="K37" s="21">
        <f t="shared" si="3"/>
        <v>0.74</v>
      </c>
      <c r="L37" s="18" t="str">
        <f>IF(K37&lt;0,"closed","opened")</f>
        <v>opened</v>
      </c>
      <c r="M37" s="104"/>
      <c r="N37" s="142">
        <v>32</v>
      </c>
      <c r="O37" s="11" t="s">
        <v>185</v>
      </c>
      <c r="P37" s="12">
        <v>1.6</v>
      </c>
      <c r="Q37" s="108">
        <v>0.093</v>
      </c>
      <c r="R37" s="145">
        <f>Q37+Костромаэнерго!D37</f>
        <v>0.253</v>
      </c>
      <c r="S37" s="13">
        <v>0.9</v>
      </c>
      <c r="T37" s="14">
        <v>120</v>
      </c>
      <c r="U37" s="50">
        <f t="shared" si="4"/>
        <v>-0.647</v>
      </c>
      <c r="V37" s="50">
        <v>0</v>
      </c>
      <c r="W37" s="50">
        <f t="shared" si="5"/>
        <v>0.9</v>
      </c>
      <c r="X37" s="21">
        <f t="shared" si="6"/>
        <v>0.647</v>
      </c>
      <c r="Y37" s="50">
        <f t="shared" si="7"/>
        <v>0.647</v>
      </c>
      <c r="Z37" s="18" t="str">
        <f>IF(Y37&lt;0,"closed","opened")</f>
        <v>opened</v>
      </c>
    </row>
    <row r="38" spans="1:26" s="1" customFormat="1" ht="25.5">
      <c r="A38" s="10">
        <v>33</v>
      </c>
      <c r="B38" s="11" t="s">
        <v>186</v>
      </c>
      <c r="C38" s="12">
        <v>4</v>
      </c>
      <c r="D38" s="109">
        <v>0.57</v>
      </c>
      <c r="E38" s="59">
        <v>1.8</v>
      </c>
      <c r="F38" s="14">
        <v>120</v>
      </c>
      <c r="G38" s="16">
        <f t="shared" si="0"/>
        <v>1.8</v>
      </c>
      <c r="H38" s="93">
        <v>0</v>
      </c>
      <c r="I38" s="16">
        <f t="shared" si="1"/>
        <v>1.8</v>
      </c>
      <c r="J38" s="16">
        <f t="shared" si="2"/>
        <v>1.23</v>
      </c>
      <c r="K38" s="21">
        <f t="shared" si="3"/>
        <v>1.23</v>
      </c>
      <c r="L38" s="74" t="str">
        <f>IF(K38&lt;0,"closed","opened")</f>
        <v>opened</v>
      </c>
      <c r="M38" s="104"/>
      <c r="N38" s="142">
        <v>33</v>
      </c>
      <c r="O38" s="11" t="s">
        <v>186</v>
      </c>
      <c r="P38" s="12">
        <v>4</v>
      </c>
      <c r="Q38" s="108">
        <v>0.088</v>
      </c>
      <c r="R38" s="145">
        <f>Q38+Костромаэнерго!D38</f>
        <v>0.6579999999999999</v>
      </c>
      <c r="S38" s="13">
        <v>1.8</v>
      </c>
      <c r="T38" s="14">
        <v>120</v>
      </c>
      <c r="U38" s="50">
        <f t="shared" si="4"/>
        <v>-1.1420000000000001</v>
      </c>
      <c r="V38" s="50">
        <v>0</v>
      </c>
      <c r="W38" s="50">
        <f t="shared" si="5"/>
        <v>1.8</v>
      </c>
      <c r="X38" s="21">
        <f t="shared" si="6"/>
        <v>1.1420000000000001</v>
      </c>
      <c r="Y38" s="50">
        <f t="shared" si="7"/>
        <v>1.1420000000000001</v>
      </c>
      <c r="Z38" s="74" t="str">
        <f>IF(Y38&lt;0,"closed","opened")</f>
        <v>opened</v>
      </c>
    </row>
    <row r="39" spans="1:26" s="1" customFormat="1" ht="25.5">
      <c r="A39" s="198">
        <v>34</v>
      </c>
      <c r="B39" s="11" t="s">
        <v>187</v>
      </c>
      <c r="C39" s="12">
        <v>10</v>
      </c>
      <c r="D39" s="109">
        <v>0.06</v>
      </c>
      <c r="E39" s="59">
        <f>E40+E41</f>
        <v>5.3</v>
      </c>
      <c r="F39" s="14">
        <v>120</v>
      </c>
      <c r="G39" s="15">
        <f t="shared" si="0"/>
        <v>5.3</v>
      </c>
      <c r="H39" s="93">
        <v>0</v>
      </c>
      <c r="I39" s="16">
        <f t="shared" si="1"/>
        <v>5.3</v>
      </c>
      <c r="J39" s="16">
        <f t="shared" si="2"/>
        <v>5.24</v>
      </c>
      <c r="K39" s="251">
        <f>J39</f>
        <v>5.24</v>
      </c>
      <c r="L39" s="202" t="s">
        <v>226</v>
      </c>
      <c r="M39" s="104"/>
      <c r="N39" s="224">
        <v>34</v>
      </c>
      <c r="O39" s="11" t="s">
        <v>187</v>
      </c>
      <c r="P39" s="12">
        <v>10</v>
      </c>
      <c r="Q39" s="162">
        <v>0.006</v>
      </c>
      <c r="R39" s="145">
        <f>Q39+Костромаэнерго!D39</f>
        <v>0.066</v>
      </c>
      <c r="S39" s="13">
        <f>S40+S41</f>
        <v>5.3</v>
      </c>
      <c r="T39" s="14">
        <v>120</v>
      </c>
      <c r="U39" s="50">
        <f t="shared" si="4"/>
        <v>-5.234</v>
      </c>
      <c r="V39" s="50">
        <v>0</v>
      </c>
      <c r="W39" s="50">
        <f t="shared" si="5"/>
        <v>5.3</v>
      </c>
      <c r="X39" s="21">
        <f t="shared" si="6"/>
        <v>5.234</v>
      </c>
      <c r="Y39" s="189">
        <f>X39</f>
        <v>5.234</v>
      </c>
      <c r="Z39" s="202" t="s">
        <v>226</v>
      </c>
    </row>
    <row r="40" spans="1:26" s="1" customFormat="1" ht="12.75">
      <c r="A40" s="199"/>
      <c r="B40" s="261" t="s">
        <v>48</v>
      </c>
      <c r="C40" s="12">
        <v>10</v>
      </c>
      <c r="D40" s="12">
        <v>0</v>
      </c>
      <c r="E40" s="13">
        <v>0</v>
      </c>
      <c r="F40" s="14">
        <v>120</v>
      </c>
      <c r="G40" s="19">
        <f t="shared" si="0"/>
        <v>0</v>
      </c>
      <c r="H40" s="93">
        <v>0</v>
      </c>
      <c r="I40" s="16">
        <f t="shared" si="1"/>
        <v>0</v>
      </c>
      <c r="J40" s="30">
        <f>I40-D40</f>
        <v>0</v>
      </c>
      <c r="K40" s="252"/>
      <c r="L40" s="203"/>
      <c r="M40" s="104"/>
      <c r="N40" s="224"/>
      <c r="O40" s="261" t="s">
        <v>48</v>
      </c>
      <c r="P40" s="12">
        <v>10</v>
      </c>
      <c r="Q40" s="157">
        <v>0</v>
      </c>
      <c r="R40" s="145">
        <f>Q40+Костромаэнерго!D40</f>
        <v>0</v>
      </c>
      <c r="S40" s="13">
        <v>0</v>
      </c>
      <c r="T40" s="14">
        <v>120</v>
      </c>
      <c r="U40" s="50">
        <f t="shared" si="4"/>
        <v>0</v>
      </c>
      <c r="V40" s="50">
        <v>0</v>
      </c>
      <c r="W40" s="50">
        <f t="shared" si="5"/>
        <v>0</v>
      </c>
      <c r="X40" s="21">
        <f t="shared" si="6"/>
        <v>0</v>
      </c>
      <c r="Y40" s="189"/>
      <c r="Z40" s="203"/>
    </row>
    <row r="41" spans="1:26" s="1" customFormat="1" ht="12.75">
      <c r="A41" s="200"/>
      <c r="B41" s="261" t="s">
        <v>49</v>
      </c>
      <c r="C41" s="12">
        <v>10</v>
      </c>
      <c r="D41" s="12">
        <v>0.06</v>
      </c>
      <c r="E41" s="13">
        <v>5.3</v>
      </c>
      <c r="F41" s="14">
        <v>120</v>
      </c>
      <c r="G41" s="19">
        <f t="shared" si="0"/>
        <v>5.3</v>
      </c>
      <c r="H41" s="93">
        <v>0</v>
      </c>
      <c r="I41" s="16">
        <f t="shared" si="1"/>
        <v>5.3</v>
      </c>
      <c r="J41" s="16">
        <f t="shared" si="2"/>
        <v>5.24</v>
      </c>
      <c r="K41" s="253"/>
      <c r="L41" s="204"/>
      <c r="M41" s="104"/>
      <c r="N41" s="224"/>
      <c r="O41" s="261" t="s">
        <v>49</v>
      </c>
      <c r="P41" s="12">
        <v>10</v>
      </c>
      <c r="Q41" s="162">
        <v>0.006</v>
      </c>
      <c r="R41" s="145">
        <f>Q41+Костромаэнерго!D41</f>
        <v>0.066</v>
      </c>
      <c r="S41" s="13">
        <v>5.3</v>
      </c>
      <c r="T41" s="14">
        <v>120</v>
      </c>
      <c r="U41" s="50">
        <f t="shared" si="4"/>
        <v>-5.234</v>
      </c>
      <c r="V41" s="50">
        <v>0</v>
      </c>
      <c r="W41" s="50">
        <f t="shared" si="5"/>
        <v>5.3</v>
      </c>
      <c r="X41" s="21">
        <f t="shared" si="6"/>
        <v>5.234</v>
      </c>
      <c r="Y41" s="189"/>
      <c r="Z41" s="204"/>
    </row>
    <row r="42" spans="1:26" s="1" customFormat="1" ht="25.5">
      <c r="A42" s="10">
        <v>35</v>
      </c>
      <c r="B42" s="11" t="s">
        <v>188</v>
      </c>
      <c r="C42" s="12">
        <v>1.6</v>
      </c>
      <c r="D42" s="109">
        <v>0.07</v>
      </c>
      <c r="E42" s="13">
        <v>0.86</v>
      </c>
      <c r="F42" s="14">
        <v>120</v>
      </c>
      <c r="G42" s="16">
        <f t="shared" si="0"/>
        <v>0.86</v>
      </c>
      <c r="H42" s="93">
        <v>0</v>
      </c>
      <c r="I42" s="16">
        <f t="shared" si="1"/>
        <v>0.86</v>
      </c>
      <c r="J42" s="16">
        <f t="shared" si="2"/>
        <v>0.79</v>
      </c>
      <c r="K42" s="17">
        <f>J42</f>
        <v>0.79</v>
      </c>
      <c r="L42" s="74" t="str">
        <f>IF(K42&lt;0,"closed","opened")</f>
        <v>opened</v>
      </c>
      <c r="M42" s="104"/>
      <c r="N42" s="142">
        <v>35</v>
      </c>
      <c r="O42" s="11" t="s">
        <v>188</v>
      </c>
      <c r="P42" s="12">
        <v>1.6</v>
      </c>
      <c r="Q42" s="108">
        <v>0</v>
      </c>
      <c r="R42" s="145">
        <f>Q42+Костромаэнерго!D42</f>
        <v>0.07</v>
      </c>
      <c r="S42" s="13">
        <v>0.86</v>
      </c>
      <c r="T42" s="14">
        <v>120</v>
      </c>
      <c r="U42" s="50">
        <f t="shared" si="4"/>
        <v>-0.79</v>
      </c>
      <c r="V42" s="50">
        <v>0</v>
      </c>
      <c r="W42" s="50">
        <f t="shared" si="5"/>
        <v>0.86</v>
      </c>
      <c r="X42" s="21">
        <f t="shared" si="6"/>
        <v>0.79</v>
      </c>
      <c r="Y42" s="16">
        <f>X42</f>
        <v>0.79</v>
      </c>
      <c r="Z42" s="74" t="str">
        <f>IF(Y42&lt;0,"closed","opened")</f>
        <v>opened</v>
      </c>
    </row>
    <row r="43" spans="1:26" s="1" customFormat="1" ht="25.5">
      <c r="A43" s="10">
        <v>36</v>
      </c>
      <c r="B43" s="11" t="s">
        <v>189</v>
      </c>
      <c r="C43" s="12">
        <v>1</v>
      </c>
      <c r="D43" s="109">
        <v>0.08</v>
      </c>
      <c r="E43" s="59">
        <v>0.54</v>
      </c>
      <c r="F43" s="14">
        <v>120</v>
      </c>
      <c r="G43" s="16">
        <f t="shared" si="0"/>
        <v>0.54</v>
      </c>
      <c r="H43" s="93">
        <v>0</v>
      </c>
      <c r="I43" s="16">
        <f t="shared" si="1"/>
        <v>0.54</v>
      </c>
      <c r="J43" s="16">
        <f t="shared" si="2"/>
        <v>0.46</v>
      </c>
      <c r="K43" s="17">
        <f aca="true" t="shared" si="8" ref="K43:K52">J43</f>
        <v>0.46</v>
      </c>
      <c r="L43" s="18" t="str">
        <f>IF(K43&lt;0,"closed","opened")</f>
        <v>opened</v>
      </c>
      <c r="M43" s="104"/>
      <c r="N43" s="142">
        <v>36</v>
      </c>
      <c r="O43" s="11" t="s">
        <v>189</v>
      </c>
      <c r="P43" s="12">
        <v>1</v>
      </c>
      <c r="Q43" s="108">
        <v>0.038</v>
      </c>
      <c r="R43" s="145">
        <f>Q43+Костромаэнерго!D43</f>
        <v>0.118</v>
      </c>
      <c r="S43" s="13">
        <v>0.54</v>
      </c>
      <c r="T43" s="14">
        <v>120</v>
      </c>
      <c r="U43" s="50">
        <f t="shared" si="4"/>
        <v>-0.42200000000000004</v>
      </c>
      <c r="V43" s="50">
        <v>0</v>
      </c>
      <c r="W43" s="50">
        <f t="shared" si="5"/>
        <v>0.54</v>
      </c>
      <c r="X43" s="21">
        <f t="shared" si="6"/>
        <v>0.42200000000000004</v>
      </c>
      <c r="Y43" s="16">
        <f aca="true" t="shared" si="9" ref="Y43:Y52">X43</f>
        <v>0.42200000000000004</v>
      </c>
      <c r="Z43" s="18" t="str">
        <f>IF(Y43&lt;0,"closed","opened")</f>
        <v>opened</v>
      </c>
    </row>
    <row r="44" spans="1:26" s="1" customFormat="1" ht="25.5">
      <c r="A44" s="10">
        <v>37</v>
      </c>
      <c r="B44" s="11" t="s">
        <v>190</v>
      </c>
      <c r="C44" s="12">
        <v>1.6</v>
      </c>
      <c r="D44" s="109">
        <v>0.45</v>
      </c>
      <c r="E44" s="59">
        <v>0.99</v>
      </c>
      <c r="F44" s="14">
        <v>120</v>
      </c>
      <c r="G44" s="15">
        <f t="shared" si="0"/>
        <v>0.99</v>
      </c>
      <c r="H44" s="93">
        <v>0</v>
      </c>
      <c r="I44" s="50">
        <f t="shared" si="1"/>
        <v>0.99</v>
      </c>
      <c r="J44" s="16">
        <f t="shared" si="2"/>
        <v>0.54</v>
      </c>
      <c r="K44" s="17">
        <f t="shared" si="8"/>
        <v>0.54</v>
      </c>
      <c r="L44" s="18" t="str">
        <f>IF(K44&lt;0,"closed","opened")</f>
        <v>opened</v>
      </c>
      <c r="M44" s="104"/>
      <c r="N44" s="142">
        <v>37</v>
      </c>
      <c r="O44" s="11" t="s">
        <v>190</v>
      </c>
      <c r="P44" s="12">
        <v>1.6</v>
      </c>
      <c r="Q44" s="108">
        <v>0.143</v>
      </c>
      <c r="R44" s="145">
        <f>Q44+Костромаэнерго!D44</f>
        <v>0.593</v>
      </c>
      <c r="S44" s="13">
        <v>0.99</v>
      </c>
      <c r="T44" s="14">
        <v>120</v>
      </c>
      <c r="U44" s="50">
        <f t="shared" si="4"/>
        <v>-0.397</v>
      </c>
      <c r="V44" s="50">
        <v>0</v>
      </c>
      <c r="W44" s="50">
        <f t="shared" si="5"/>
        <v>0.99</v>
      </c>
      <c r="X44" s="21">
        <f t="shared" si="6"/>
        <v>0.397</v>
      </c>
      <c r="Y44" s="16">
        <f t="shared" si="9"/>
        <v>0.397</v>
      </c>
      <c r="Z44" s="18" t="str">
        <f>IF(Y44&lt;0,"closed","opened")</f>
        <v>opened</v>
      </c>
    </row>
    <row r="45" spans="1:26" s="1" customFormat="1" ht="25.5">
      <c r="A45" s="10">
        <v>38</v>
      </c>
      <c r="B45" s="11" t="s">
        <v>191</v>
      </c>
      <c r="C45" s="12">
        <v>2.5</v>
      </c>
      <c r="D45" s="109">
        <v>0.29</v>
      </c>
      <c r="E45" s="59">
        <v>1.63</v>
      </c>
      <c r="F45" s="14">
        <v>120</v>
      </c>
      <c r="G45" s="19">
        <f t="shared" si="0"/>
        <v>1.63</v>
      </c>
      <c r="H45" s="93">
        <v>0</v>
      </c>
      <c r="I45" s="15">
        <f t="shared" si="1"/>
        <v>1.63</v>
      </c>
      <c r="J45" s="16">
        <f t="shared" si="2"/>
        <v>1.3399999999999999</v>
      </c>
      <c r="K45" s="17">
        <f t="shared" si="8"/>
        <v>1.3399999999999999</v>
      </c>
      <c r="L45" s="18" t="str">
        <f>IF(K45&lt;0,"closed","opened")</f>
        <v>opened</v>
      </c>
      <c r="M45" s="104"/>
      <c r="N45" s="142">
        <v>38</v>
      </c>
      <c r="O45" s="11" t="s">
        <v>191</v>
      </c>
      <c r="P45" s="12">
        <v>2.5</v>
      </c>
      <c r="Q45" s="108">
        <v>0.018</v>
      </c>
      <c r="R45" s="145">
        <f>Q45+Костромаэнерго!D45</f>
        <v>0.308</v>
      </c>
      <c r="S45" s="13">
        <v>1.63</v>
      </c>
      <c r="T45" s="14">
        <v>120</v>
      </c>
      <c r="U45" s="50">
        <f t="shared" si="4"/>
        <v>-1.3219999999999998</v>
      </c>
      <c r="V45" s="50">
        <v>0</v>
      </c>
      <c r="W45" s="50">
        <f t="shared" si="5"/>
        <v>1.63</v>
      </c>
      <c r="X45" s="21">
        <f t="shared" si="6"/>
        <v>1.3219999999999998</v>
      </c>
      <c r="Y45" s="16">
        <f t="shared" si="9"/>
        <v>1.3219999999999998</v>
      </c>
      <c r="Z45" s="18" t="str">
        <f>IF(Y45&lt;0,"closed","opened")</f>
        <v>opened</v>
      </c>
    </row>
    <row r="46" spans="1:26" s="1" customFormat="1" ht="25.5">
      <c r="A46" s="10">
        <v>39</v>
      </c>
      <c r="B46" s="11" t="s">
        <v>192</v>
      </c>
      <c r="C46" s="12">
        <v>2.5</v>
      </c>
      <c r="D46" s="109">
        <v>0.53</v>
      </c>
      <c r="E46" s="59">
        <v>1.3</v>
      </c>
      <c r="F46" s="14">
        <v>120</v>
      </c>
      <c r="G46" s="19">
        <f t="shared" si="0"/>
        <v>1.3</v>
      </c>
      <c r="H46" s="93">
        <v>0</v>
      </c>
      <c r="I46" s="16">
        <f t="shared" si="1"/>
        <v>1.3</v>
      </c>
      <c r="J46" s="16">
        <f t="shared" si="2"/>
        <v>0.77</v>
      </c>
      <c r="K46" s="17">
        <f t="shared" si="8"/>
        <v>0.77</v>
      </c>
      <c r="L46" s="18" t="str">
        <f>IF(K46&lt;0,"closed","opened")</f>
        <v>opened</v>
      </c>
      <c r="M46" s="104"/>
      <c r="N46" s="142">
        <v>39</v>
      </c>
      <c r="O46" s="11" t="s">
        <v>192</v>
      </c>
      <c r="P46" s="12">
        <v>2.5</v>
      </c>
      <c r="Q46" s="108">
        <v>0</v>
      </c>
      <c r="R46" s="145">
        <f>Q46+Костромаэнерго!D46</f>
        <v>0.53</v>
      </c>
      <c r="S46" s="13">
        <v>1.3</v>
      </c>
      <c r="T46" s="14">
        <v>120</v>
      </c>
      <c r="U46" s="50">
        <f t="shared" si="4"/>
        <v>-0.77</v>
      </c>
      <c r="V46" s="50">
        <v>0</v>
      </c>
      <c r="W46" s="50">
        <f t="shared" si="5"/>
        <v>1.3</v>
      </c>
      <c r="X46" s="21">
        <f t="shared" si="6"/>
        <v>0.77</v>
      </c>
      <c r="Y46" s="16">
        <f t="shared" si="9"/>
        <v>0.77</v>
      </c>
      <c r="Z46" s="18" t="str">
        <f>IF(Y46&lt;0,"closed","opened")</f>
        <v>opened</v>
      </c>
    </row>
    <row r="47" spans="1:26" s="1" customFormat="1" ht="25.5">
      <c r="A47" s="10">
        <v>40</v>
      </c>
      <c r="B47" s="11" t="s">
        <v>193</v>
      </c>
      <c r="C47" s="12">
        <v>2.5</v>
      </c>
      <c r="D47" s="109">
        <v>0.03</v>
      </c>
      <c r="E47" s="59">
        <v>1.23</v>
      </c>
      <c r="F47" s="14">
        <v>120</v>
      </c>
      <c r="G47" s="19">
        <f t="shared" si="0"/>
        <v>1.23</v>
      </c>
      <c r="H47" s="93">
        <v>0</v>
      </c>
      <c r="I47" s="16">
        <f t="shared" si="1"/>
        <v>1.23</v>
      </c>
      <c r="J47" s="16">
        <f t="shared" si="2"/>
        <v>1.2</v>
      </c>
      <c r="K47" s="17">
        <f t="shared" si="8"/>
        <v>1.2</v>
      </c>
      <c r="L47" s="74" t="str">
        <f>IF(K47&lt;0,"closed","opened")</f>
        <v>opened</v>
      </c>
      <c r="M47" s="104"/>
      <c r="N47" s="142">
        <v>40</v>
      </c>
      <c r="O47" s="11" t="s">
        <v>193</v>
      </c>
      <c r="P47" s="12">
        <v>2.5</v>
      </c>
      <c r="Q47" s="108">
        <v>0</v>
      </c>
      <c r="R47" s="145">
        <f>Q47+Костромаэнерго!D47</f>
        <v>0.03</v>
      </c>
      <c r="S47" s="13">
        <v>1.23</v>
      </c>
      <c r="T47" s="14">
        <v>120</v>
      </c>
      <c r="U47" s="50">
        <f t="shared" si="4"/>
        <v>-1.2</v>
      </c>
      <c r="V47" s="50">
        <v>0</v>
      </c>
      <c r="W47" s="50">
        <f t="shared" si="5"/>
        <v>1.23</v>
      </c>
      <c r="X47" s="21">
        <f t="shared" si="6"/>
        <v>1.2</v>
      </c>
      <c r="Y47" s="16">
        <f t="shared" si="9"/>
        <v>1.2</v>
      </c>
      <c r="Z47" s="74" t="str">
        <f>IF(Y47&lt;0,"closed","opened")</f>
        <v>opened</v>
      </c>
    </row>
    <row r="48" spans="1:26" s="1" customFormat="1" ht="25.5">
      <c r="A48" s="10">
        <v>41</v>
      </c>
      <c r="B48" s="11" t="s">
        <v>194</v>
      </c>
      <c r="C48" s="12">
        <v>1.6</v>
      </c>
      <c r="D48" s="109">
        <v>0.25</v>
      </c>
      <c r="E48" s="59">
        <v>0.96</v>
      </c>
      <c r="F48" s="14">
        <v>120</v>
      </c>
      <c r="G48" s="16">
        <f t="shared" si="0"/>
        <v>0.96</v>
      </c>
      <c r="H48" s="93">
        <v>0</v>
      </c>
      <c r="I48" s="16">
        <f t="shared" si="1"/>
        <v>0.96</v>
      </c>
      <c r="J48" s="16">
        <f t="shared" si="2"/>
        <v>0.71</v>
      </c>
      <c r="K48" s="17">
        <f t="shared" si="8"/>
        <v>0.71</v>
      </c>
      <c r="L48" s="18" t="str">
        <f>IF(K48&lt;0,"closed","opened")</f>
        <v>opened</v>
      </c>
      <c r="M48" s="104"/>
      <c r="N48" s="142">
        <v>41</v>
      </c>
      <c r="O48" s="11" t="s">
        <v>194</v>
      </c>
      <c r="P48" s="12">
        <v>1.6</v>
      </c>
      <c r="Q48" s="108">
        <v>0.098</v>
      </c>
      <c r="R48" s="145">
        <f>Q48+Костромаэнерго!D48</f>
        <v>0.348</v>
      </c>
      <c r="S48" s="13">
        <v>0.96</v>
      </c>
      <c r="T48" s="14">
        <v>120</v>
      </c>
      <c r="U48" s="50">
        <f t="shared" si="4"/>
        <v>-0.612</v>
      </c>
      <c r="V48" s="50">
        <v>0</v>
      </c>
      <c r="W48" s="50">
        <f t="shared" si="5"/>
        <v>0.96</v>
      </c>
      <c r="X48" s="21">
        <f t="shared" si="6"/>
        <v>0.612</v>
      </c>
      <c r="Y48" s="16">
        <f t="shared" si="9"/>
        <v>0.612</v>
      </c>
      <c r="Z48" s="18" t="str">
        <f>IF(Y48&lt;0,"closed","opened")</f>
        <v>opened</v>
      </c>
    </row>
    <row r="49" spans="1:26" s="1" customFormat="1" ht="25.5">
      <c r="A49" s="10">
        <v>42</v>
      </c>
      <c r="B49" s="11" t="s">
        <v>195</v>
      </c>
      <c r="C49" s="12">
        <v>2.5</v>
      </c>
      <c r="D49" s="109">
        <v>0.28</v>
      </c>
      <c r="E49" s="59">
        <v>1.13</v>
      </c>
      <c r="F49" s="14">
        <v>120</v>
      </c>
      <c r="G49" s="15">
        <f t="shared" si="0"/>
        <v>1.13</v>
      </c>
      <c r="H49" s="93">
        <v>0</v>
      </c>
      <c r="I49" s="50">
        <f t="shared" si="1"/>
        <v>1.13</v>
      </c>
      <c r="J49" s="16">
        <f t="shared" si="2"/>
        <v>0.8499999999999999</v>
      </c>
      <c r="K49" s="17">
        <f t="shared" si="8"/>
        <v>0.8499999999999999</v>
      </c>
      <c r="L49" s="74" t="str">
        <f>IF(K49&lt;0,"closed","opened")</f>
        <v>opened</v>
      </c>
      <c r="M49" s="104"/>
      <c r="N49" s="142">
        <v>42</v>
      </c>
      <c r="O49" s="11" t="s">
        <v>195</v>
      </c>
      <c r="P49" s="12">
        <v>2.5</v>
      </c>
      <c r="Q49" s="108">
        <v>0</v>
      </c>
      <c r="R49" s="145">
        <f>Q49+Костромаэнерго!D49</f>
        <v>0.28</v>
      </c>
      <c r="S49" s="13">
        <v>1.13</v>
      </c>
      <c r="T49" s="14">
        <v>120</v>
      </c>
      <c r="U49" s="50">
        <f t="shared" si="4"/>
        <v>-0.8499999999999999</v>
      </c>
      <c r="V49" s="50">
        <v>0</v>
      </c>
      <c r="W49" s="50">
        <f t="shared" si="5"/>
        <v>1.13</v>
      </c>
      <c r="X49" s="21">
        <f t="shared" si="6"/>
        <v>0.8499999999999999</v>
      </c>
      <c r="Y49" s="16">
        <f t="shared" si="9"/>
        <v>0.8499999999999999</v>
      </c>
      <c r="Z49" s="74" t="str">
        <f>IF(Y49&lt;0,"closed","opened")</f>
        <v>opened</v>
      </c>
    </row>
    <row r="50" spans="1:26" s="1" customFormat="1" ht="25.5">
      <c r="A50" s="10">
        <v>43</v>
      </c>
      <c r="B50" s="11" t="s">
        <v>196</v>
      </c>
      <c r="C50" s="12">
        <v>2.5</v>
      </c>
      <c r="D50" s="109">
        <v>0.91</v>
      </c>
      <c r="E50" s="59">
        <v>2.5</v>
      </c>
      <c r="F50" s="14" t="s">
        <v>225</v>
      </c>
      <c r="G50" s="16">
        <f t="shared" si="0"/>
        <v>2.5</v>
      </c>
      <c r="H50" s="93">
        <v>0</v>
      </c>
      <c r="I50" s="15">
        <f t="shared" si="1"/>
        <v>2.5</v>
      </c>
      <c r="J50" s="16">
        <f t="shared" si="2"/>
        <v>1.5899999999999999</v>
      </c>
      <c r="K50" s="17">
        <f t="shared" si="8"/>
        <v>1.5899999999999999</v>
      </c>
      <c r="L50" s="84" t="str">
        <f>IF(K50&lt;0,"closed","opened")</f>
        <v>opened</v>
      </c>
      <c r="M50" s="104"/>
      <c r="N50" s="142">
        <v>43</v>
      </c>
      <c r="O50" s="11" t="s">
        <v>196</v>
      </c>
      <c r="P50" s="12">
        <v>2.5</v>
      </c>
      <c r="Q50" s="108">
        <v>0.012</v>
      </c>
      <c r="R50" s="145">
        <f>Q50+Костромаэнерго!D50</f>
        <v>0.922</v>
      </c>
      <c r="S50" s="13">
        <v>2.5</v>
      </c>
      <c r="T50" s="14" t="s">
        <v>225</v>
      </c>
      <c r="U50" s="50">
        <f t="shared" si="4"/>
        <v>-1.5779999999999998</v>
      </c>
      <c r="V50" s="50">
        <v>0</v>
      </c>
      <c r="W50" s="50">
        <f t="shared" si="5"/>
        <v>2.5</v>
      </c>
      <c r="X50" s="21">
        <f t="shared" si="6"/>
        <v>1.5779999999999998</v>
      </c>
      <c r="Y50" s="16">
        <f t="shared" si="9"/>
        <v>1.5779999999999998</v>
      </c>
      <c r="Z50" s="84" t="str">
        <f>IF(Y50&lt;0,"closed","opened")</f>
        <v>opened</v>
      </c>
    </row>
    <row r="51" spans="1:26" s="1" customFormat="1" ht="25.5">
      <c r="A51" s="10">
        <v>44</v>
      </c>
      <c r="B51" s="11" t="s">
        <v>197</v>
      </c>
      <c r="C51" s="12">
        <v>2.5</v>
      </c>
      <c r="D51" s="109">
        <v>0.4</v>
      </c>
      <c r="E51" s="59">
        <v>1.48</v>
      </c>
      <c r="F51" s="14">
        <v>120</v>
      </c>
      <c r="G51" s="16">
        <f t="shared" si="0"/>
        <v>1.48</v>
      </c>
      <c r="H51" s="93">
        <v>0</v>
      </c>
      <c r="I51" s="16">
        <f t="shared" si="1"/>
        <v>1.48</v>
      </c>
      <c r="J51" s="16">
        <f t="shared" si="2"/>
        <v>1.08</v>
      </c>
      <c r="K51" s="17">
        <f t="shared" si="8"/>
        <v>1.08</v>
      </c>
      <c r="L51" s="18" t="str">
        <f>IF(K51&lt;0,"closed","opened")</f>
        <v>opened</v>
      </c>
      <c r="M51" s="104"/>
      <c r="N51" s="142">
        <v>44</v>
      </c>
      <c r="O51" s="11" t="s">
        <v>197</v>
      </c>
      <c r="P51" s="12">
        <v>2.5</v>
      </c>
      <c r="Q51" s="108">
        <v>0.017</v>
      </c>
      <c r="R51" s="145">
        <f>Q51+Костромаэнерго!D51</f>
        <v>0.41700000000000004</v>
      </c>
      <c r="S51" s="13">
        <v>1.48</v>
      </c>
      <c r="T51" s="14">
        <v>120</v>
      </c>
      <c r="U51" s="50">
        <f t="shared" si="4"/>
        <v>-1.063</v>
      </c>
      <c r="V51" s="50">
        <v>0</v>
      </c>
      <c r="W51" s="50">
        <f t="shared" si="5"/>
        <v>1.48</v>
      </c>
      <c r="X51" s="21">
        <f t="shared" si="6"/>
        <v>1.063</v>
      </c>
      <c r="Y51" s="16">
        <f t="shared" si="9"/>
        <v>1.063</v>
      </c>
      <c r="Z51" s="18" t="str">
        <f>IF(Y51&lt;0,"closed","opened")</f>
        <v>opened</v>
      </c>
    </row>
    <row r="52" spans="1:26" s="1" customFormat="1" ht="25.5">
      <c r="A52" s="10">
        <v>45</v>
      </c>
      <c r="B52" s="11" t="s">
        <v>198</v>
      </c>
      <c r="C52" s="12">
        <v>2.5</v>
      </c>
      <c r="D52" s="109">
        <v>1.04</v>
      </c>
      <c r="E52" s="59">
        <v>1.13</v>
      </c>
      <c r="F52" s="14">
        <v>120</v>
      </c>
      <c r="G52" s="15">
        <f t="shared" si="0"/>
        <v>1.13</v>
      </c>
      <c r="H52" s="93">
        <v>0</v>
      </c>
      <c r="I52" s="16">
        <f t="shared" si="1"/>
        <v>1.13</v>
      </c>
      <c r="J52" s="16">
        <f t="shared" si="2"/>
        <v>0.08999999999999986</v>
      </c>
      <c r="K52" s="17">
        <f t="shared" si="8"/>
        <v>0.08999999999999986</v>
      </c>
      <c r="L52" s="74" t="str">
        <f>IF(K52&lt;0,"closed","opened")</f>
        <v>opened</v>
      </c>
      <c r="M52" s="104"/>
      <c r="N52" s="142">
        <v>45</v>
      </c>
      <c r="O52" s="11" t="s">
        <v>198</v>
      </c>
      <c r="P52" s="12">
        <v>2.5</v>
      </c>
      <c r="Q52" s="108">
        <v>0.069</v>
      </c>
      <c r="R52" s="145">
        <f>Q52+Костромаэнерго!D52</f>
        <v>1.109</v>
      </c>
      <c r="S52" s="13">
        <v>1.13</v>
      </c>
      <c r="T52" s="14">
        <v>120</v>
      </c>
      <c r="U52" s="50">
        <f t="shared" si="4"/>
        <v>-0.020999999999999908</v>
      </c>
      <c r="V52" s="50">
        <v>0</v>
      </c>
      <c r="W52" s="50">
        <f t="shared" si="5"/>
        <v>1.13</v>
      </c>
      <c r="X52" s="21">
        <f t="shared" si="6"/>
        <v>0.020999999999999908</v>
      </c>
      <c r="Y52" s="16">
        <f t="shared" si="9"/>
        <v>0.020999999999999908</v>
      </c>
      <c r="Z52" s="74" t="str">
        <f>IF(Y52&lt;0,"closed","opened")</f>
        <v>opened</v>
      </c>
    </row>
    <row r="53" spans="1:26" s="1" customFormat="1" ht="25.5">
      <c r="A53" s="230">
        <v>46</v>
      </c>
      <c r="B53" s="11" t="s">
        <v>199</v>
      </c>
      <c r="C53" s="12">
        <v>6.3</v>
      </c>
      <c r="D53" s="109">
        <v>0.28</v>
      </c>
      <c r="E53" s="59">
        <f>E54+E55</f>
        <v>3.15</v>
      </c>
      <c r="F53" s="14">
        <v>120</v>
      </c>
      <c r="G53" s="19">
        <f t="shared" si="0"/>
        <v>3.15</v>
      </c>
      <c r="H53" s="93">
        <v>0</v>
      </c>
      <c r="I53" s="16">
        <f t="shared" si="1"/>
        <v>3.15</v>
      </c>
      <c r="J53" s="16">
        <f t="shared" si="2"/>
        <v>2.87</v>
      </c>
      <c r="K53" s="251">
        <f>J53</f>
        <v>2.87</v>
      </c>
      <c r="L53" s="202" t="s">
        <v>226</v>
      </c>
      <c r="M53" s="104"/>
      <c r="N53" s="224">
        <v>46</v>
      </c>
      <c r="O53" s="11" t="s">
        <v>199</v>
      </c>
      <c r="P53" s="12">
        <v>6.3</v>
      </c>
      <c r="Q53" s="162">
        <v>0</v>
      </c>
      <c r="R53" s="145">
        <f>Q53+Костромаэнерго!D53</f>
        <v>0.28</v>
      </c>
      <c r="S53" s="13">
        <f>S54+S55</f>
        <v>3.15</v>
      </c>
      <c r="T53" s="14">
        <v>120</v>
      </c>
      <c r="U53" s="50">
        <f t="shared" si="4"/>
        <v>-2.87</v>
      </c>
      <c r="V53" s="50">
        <v>0</v>
      </c>
      <c r="W53" s="50">
        <f t="shared" si="5"/>
        <v>3.15</v>
      </c>
      <c r="X53" s="21">
        <f t="shared" si="6"/>
        <v>2.87</v>
      </c>
      <c r="Y53" s="189">
        <f>X53</f>
        <v>2.87</v>
      </c>
      <c r="Z53" s="202" t="s">
        <v>226</v>
      </c>
    </row>
    <row r="54" spans="1:26" s="1" customFormat="1" ht="12.75">
      <c r="A54" s="231"/>
      <c r="B54" s="261" t="s">
        <v>48</v>
      </c>
      <c r="C54" s="12">
        <v>6.3</v>
      </c>
      <c r="D54" s="12">
        <v>0</v>
      </c>
      <c r="E54" s="13">
        <v>0</v>
      </c>
      <c r="F54" s="14">
        <v>120</v>
      </c>
      <c r="G54" s="16">
        <f t="shared" si="0"/>
        <v>0</v>
      </c>
      <c r="H54" s="93">
        <v>0</v>
      </c>
      <c r="I54" s="16">
        <f t="shared" si="1"/>
        <v>0</v>
      </c>
      <c r="J54" s="30">
        <f>I54-D54</f>
        <v>0</v>
      </c>
      <c r="K54" s="252"/>
      <c r="L54" s="203"/>
      <c r="M54" s="104"/>
      <c r="N54" s="224"/>
      <c r="O54" s="261" t="s">
        <v>48</v>
      </c>
      <c r="P54" s="12">
        <v>6.3</v>
      </c>
      <c r="Q54" s="157">
        <v>0</v>
      </c>
      <c r="R54" s="145">
        <f>Q54+Костромаэнерго!D54</f>
        <v>0</v>
      </c>
      <c r="S54" s="13">
        <v>0</v>
      </c>
      <c r="T54" s="14">
        <v>120</v>
      </c>
      <c r="U54" s="50">
        <f t="shared" si="4"/>
        <v>0</v>
      </c>
      <c r="V54" s="50">
        <v>0</v>
      </c>
      <c r="W54" s="50">
        <f t="shared" si="5"/>
        <v>0</v>
      </c>
      <c r="X54" s="21">
        <f t="shared" si="6"/>
        <v>0</v>
      </c>
      <c r="Y54" s="189"/>
      <c r="Z54" s="203"/>
    </row>
    <row r="55" spans="1:26" s="1" customFormat="1" ht="15">
      <c r="A55" s="232"/>
      <c r="B55" s="261" t="s">
        <v>49</v>
      </c>
      <c r="C55" s="12">
        <v>6.3</v>
      </c>
      <c r="D55" s="109">
        <v>0.28</v>
      </c>
      <c r="E55" s="13">
        <v>3.15</v>
      </c>
      <c r="F55" s="14">
        <v>120</v>
      </c>
      <c r="G55" s="15">
        <f t="shared" si="0"/>
        <v>3.15</v>
      </c>
      <c r="H55" s="93">
        <v>0</v>
      </c>
      <c r="I55" s="50">
        <f t="shared" si="1"/>
        <v>3.15</v>
      </c>
      <c r="J55" s="16">
        <f t="shared" si="2"/>
        <v>2.87</v>
      </c>
      <c r="K55" s="253"/>
      <c r="L55" s="203"/>
      <c r="M55" s="104"/>
      <c r="N55" s="224"/>
      <c r="O55" s="261" t="s">
        <v>49</v>
      </c>
      <c r="P55" s="12">
        <v>6.3</v>
      </c>
      <c r="Q55" s="162">
        <v>0</v>
      </c>
      <c r="R55" s="145">
        <f>Q55+Костромаэнерго!D55</f>
        <v>0.28</v>
      </c>
      <c r="S55" s="13">
        <v>3.15</v>
      </c>
      <c r="T55" s="14">
        <v>120</v>
      </c>
      <c r="U55" s="50">
        <f t="shared" si="4"/>
        <v>-2.87</v>
      </c>
      <c r="V55" s="50">
        <v>0</v>
      </c>
      <c r="W55" s="50">
        <f t="shared" si="5"/>
        <v>3.15</v>
      </c>
      <c r="X55" s="21">
        <f t="shared" si="6"/>
        <v>2.87</v>
      </c>
      <c r="Y55" s="189"/>
      <c r="Z55" s="203"/>
    </row>
    <row r="56" spans="1:26" s="1" customFormat="1" ht="25.5">
      <c r="A56" s="10">
        <v>47</v>
      </c>
      <c r="B56" s="11" t="s">
        <v>200</v>
      </c>
      <c r="C56" s="12">
        <v>1.6</v>
      </c>
      <c r="D56" s="109">
        <v>0.11</v>
      </c>
      <c r="E56" s="13">
        <v>0.67</v>
      </c>
      <c r="F56" s="14">
        <v>120</v>
      </c>
      <c r="G56" s="19">
        <f t="shared" si="0"/>
        <v>0.67</v>
      </c>
      <c r="H56" s="93">
        <v>0</v>
      </c>
      <c r="I56" s="15">
        <f t="shared" si="1"/>
        <v>0.67</v>
      </c>
      <c r="J56" s="16">
        <f t="shared" si="2"/>
        <v>0.56</v>
      </c>
      <c r="K56" s="17">
        <f>J56</f>
        <v>0.56</v>
      </c>
      <c r="L56" s="18" t="str">
        <f>IF(K56&lt;0,"closed","opened")</f>
        <v>opened</v>
      </c>
      <c r="M56" s="104"/>
      <c r="N56" s="142">
        <v>47</v>
      </c>
      <c r="O56" s="11" t="s">
        <v>200</v>
      </c>
      <c r="P56" s="12">
        <v>1.6</v>
      </c>
      <c r="Q56" s="108">
        <v>0</v>
      </c>
      <c r="R56" s="145">
        <f>Q56+Костромаэнерго!D56</f>
        <v>0.11</v>
      </c>
      <c r="S56" s="13">
        <v>0.67</v>
      </c>
      <c r="T56" s="14">
        <v>120</v>
      </c>
      <c r="U56" s="50">
        <f t="shared" si="4"/>
        <v>-0.56</v>
      </c>
      <c r="V56" s="50">
        <v>0</v>
      </c>
      <c r="W56" s="50">
        <f t="shared" si="5"/>
        <v>0.67</v>
      </c>
      <c r="X56" s="21">
        <f t="shared" si="6"/>
        <v>0.56</v>
      </c>
      <c r="Y56" s="16">
        <f>X56</f>
        <v>0.56</v>
      </c>
      <c r="Z56" s="18" t="str">
        <f>IF(Y56&lt;0,"closed","opened")</f>
        <v>opened</v>
      </c>
    </row>
    <row r="57" spans="1:26" s="1" customFormat="1" ht="32.25" customHeight="1">
      <c r="A57" s="10">
        <v>48</v>
      </c>
      <c r="B57" s="11" t="s">
        <v>201</v>
      </c>
      <c r="C57" s="12">
        <v>1.6</v>
      </c>
      <c r="D57" s="109">
        <v>0.26</v>
      </c>
      <c r="E57" s="59">
        <v>1.6</v>
      </c>
      <c r="F57" s="14" t="s">
        <v>225</v>
      </c>
      <c r="G57" s="19">
        <f t="shared" si="0"/>
        <v>1.6</v>
      </c>
      <c r="H57" s="93">
        <v>0</v>
      </c>
      <c r="I57" s="16">
        <f t="shared" si="1"/>
        <v>1.6</v>
      </c>
      <c r="J57" s="16">
        <f t="shared" si="2"/>
        <v>1.34</v>
      </c>
      <c r="K57" s="17">
        <f aca="true" t="shared" si="10" ref="K57:K70">J57</f>
        <v>1.34</v>
      </c>
      <c r="L57" s="74" t="str">
        <f>IF(K57&lt;0,"closed","opened")</f>
        <v>opened</v>
      </c>
      <c r="M57" s="104"/>
      <c r="N57" s="142">
        <v>48</v>
      </c>
      <c r="O57" s="11" t="s">
        <v>201</v>
      </c>
      <c r="P57" s="12">
        <v>1.6</v>
      </c>
      <c r="Q57" s="108">
        <v>0</v>
      </c>
      <c r="R57" s="145">
        <f>Q57+Костромаэнерго!D57</f>
        <v>0.26</v>
      </c>
      <c r="S57" s="13">
        <v>1.6</v>
      </c>
      <c r="T57" s="14" t="s">
        <v>225</v>
      </c>
      <c r="U57" s="50">
        <f t="shared" si="4"/>
        <v>-1.34</v>
      </c>
      <c r="V57" s="50">
        <v>0</v>
      </c>
      <c r="W57" s="50">
        <f t="shared" si="5"/>
        <v>1.6</v>
      </c>
      <c r="X57" s="21">
        <f t="shared" si="6"/>
        <v>1.34</v>
      </c>
      <c r="Y57" s="16">
        <f aca="true" t="shared" si="11" ref="Y57:Y70">X57</f>
        <v>1.34</v>
      </c>
      <c r="Z57" s="74" t="str">
        <f>IF(Y57&lt;0,"closed","opened")</f>
        <v>opened</v>
      </c>
    </row>
    <row r="58" spans="1:26" s="1" customFormat="1" ht="25.5">
      <c r="A58" s="10">
        <v>49</v>
      </c>
      <c r="B58" s="11" t="s">
        <v>202</v>
      </c>
      <c r="C58" s="12">
        <v>2.5</v>
      </c>
      <c r="D58" s="109">
        <v>0.06</v>
      </c>
      <c r="E58" s="59">
        <v>1.95</v>
      </c>
      <c r="F58" s="14">
        <v>120</v>
      </c>
      <c r="G58" s="16">
        <f t="shared" si="0"/>
        <v>1.95</v>
      </c>
      <c r="H58" s="93">
        <v>0</v>
      </c>
      <c r="I58" s="16">
        <f t="shared" si="1"/>
        <v>1.95</v>
      </c>
      <c r="J58" s="16">
        <f t="shared" si="2"/>
        <v>1.89</v>
      </c>
      <c r="K58" s="17">
        <f t="shared" si="10"/>
        <v>1.89</v>
      </c>
      <c r="L58" s="84" t="str">
        <f>IF(K58&lt;0,"closed","opened")</f>
        <v>opened</v>
      </c>
      <c r="M58" s="104"/>
      <c r="N58" s="142">
        <v>49</v>
      </c>
      <c r="O58" s="11" t="s">
        <v>202</v>
      </c>
      <c r="P58" s="12">
        <v>2.5</v>
      </c>
      <c r="Q58" s="108">
        <v>0</v>
      </c>
      <c r="R58" s="145">
        <f>Q58+Костромаэнерго!D58</f>
        <v>0.06</v>
      </c>
      <c r="S58" s="13">
        <v>1.95</v>
      </c>
      <c r="T58" s="14">
        <v>120</v>
      </c>
      <c r="U58" s="50">
        <f t="shared" si="4"/>
        <v>-1.89</v>
      </c>
      <c r="V58" s="50">
        <v>0</v>
      </c>
      <c r="W58" s="50">
        <f t="shared" si="5"/>
        <v>1.95</v>
      </c>
      <c r="X58" s="21">
        <f t="shared" si="6"/>
        <v>1.89</v>
      </c>
      <c r="Y58" s="16">
        <f t="shared" si="11"/>
        <v>1.89</v>
      </c>
      <c r="Z58" s="84" t="str">
        <f>IF(Y58&lt;0,"closed","opened")</f>
        <v>opened</v>
      </c>
    </row>
    <row r="59" spans="1:26" s="1" customFormat="1" ht="25.5">
      <c r="A59" s="10">
        <v>50</v>
      </c>
      <c r="B59" s="11" t="s">
        <v>203</v>
      </c>
      <c r="C59" s="12">
        <v>1.6</v>
      </c>
      <c r="D59" s="109">
        <v>0.11</v>
      </c>
      <c r="E59" s="59">
        <v>0.88</v>
      </c>
      <c r="F59" s="14">
        <v>120</v>
      </c>
      <c r="G59" s="15">
        <f t="shared" si="0"/>
        <v>0.88</v>
      </c>
      <c r="H59" s="93">
        <v>0</v>
      </c>
      <c r="I59" s="16">
        <f t="shared" si="1"/>
        <v>0.88</v>
      </c>
      <c r="J59" s="16">
        <f t="shared" si="2"/>
        <v>0.77</v>
      </c>
      <c r="K59" s="17">
        <f t="shared" si="10"/>
        <v>0.77</v>
      </c>
      <c r="L59" s="84" t="str">
        <f>IF(K59&lt;0,"closed","opened")</f>
        <v>opened</v>
      </c>
      <c r="M59" s="104"/>
      <c r="N59" s="142">
        <v>50</v>
      </c>
      <c r="O59" s="11" t="s">
        <v>203</v>
      </c>
      <c r="P59" s="12">
        <v>1.6</v>
      </c>
      <c r="Q59" s="108">
        <v>0</v>
      </c>
      <c r="R59" s="145">
        <f>Q59+Костромаэнерго!D59</f>
        <v>0.11</v>
      </c>
      <c r="S59" s="13">
        <v>0.88</v>
      </c>
      <c r="T59" s="14">
        <v>120</v>
      </c>
      <c r="U59" s="50">
        <f t="shared" si="4"/>
        <v>-0.77</v>
      </c>
      <c r="V59" s="50">
        <v>0</v>
      </c>
      <c r="W59" s="50">
        <f t="shared" si="5"/>
        <v>0.88</v>
      </c>
      <c r="X59" s="21">
        <f t="shared" si="6"/>
        <v>0.77</v>
      </c>
      <c r="Y59" s="16">
        <f t="shared" si="11"/>
        <v>0.77</v>
      </c>
      <c r="Z59" s="84" t="str">
        <f>IF(Y59&lt;0,"closed","opened")</f>
        <v>opened</v>
      </c>
    </row>
    <row r="60" spans="1:26" s="1" customFormat="1" ht="25.5">
      <c r="A60" s="10">
        <v>51</v>
      </c>
      <c r="B60" s="11" t="s">
        <v>204</v>
      </c>
      <c r="C60" s="12">
        <v>1.6</v>
      </c>
      <c r="D60" s="109">
        <v>0.04</v>
      </c>
      <c r="E60" s="59">
        <v>0.9</v>
      </c>
      <c r="F60" s="14">
        <v>120</v>
      </c>
      <c r="G60" s="16">
        <f t="shared" si="0"/>
        <v>0.9</v>
      </c>
      <c r="H60" s="93">
        <v>0</v>
      </c>
      <c r="I60" s="16">
        <f t="shared" si="1"/>
        <v>0.9</v>
      </c>
      <c r="J60" s="16">
        <f t="shared" si="2"/>
        <v>0.86</v>
      </c>
      <c r="K60" s="17">
        <f t="shared" si="10"/>
        <v>0.86</v>
      </c>
      <c r="L60" s="84" t="str">
        <f>IF(K60&lt;0,"closed","opened")</f>
        <v>opened</v>
      </c>
      <c r="M60" s="104"/>
      <c r="N60" s="142">
        <v>51</v>
      </c>
      <c r="O60" s="11" t="s">
        <v>204</v>
      </c>
      <c r="P60" s="12">
        <v>1.6</v>
      </c>
      <c r="Q60" s="108">
        <v>0</v>
      </c>
      <c r="R60" s="145">
        <f>Q60+Костромаэнерго!D60</f>
        <v>0.04</v>
      </c>
      <c r="S60" s="13">
        <v>0.9</v>
      </c>
      <c r="T60" s="14">
        <v>120</v>
      </c>
      <c r="U60" s="50">
        <f t="shared" si="4"/>
        <v>-0.86</v>
      </c>
      <c r="V60" s="50">
        <v>0</v>
      </c>
      <c r="W60" s="50">
        <f t="shared" si="5"/>
        <v>0.9</v>
      </c>
      <c r="X60" s="21">
        <f t="shared" si="6"/>
        <v>0.86</v>
      </c>
      <c r="Y60" s="16">
        <f t="shared" si="11"/>
        <v>0.86</v>
      </c>
      <c r="Z60" s="84" t="str">
        <f>IF(Y60&lt;0,"closed","opened")</f>
        <v>opened</v>
      </c>
    </row>
    <row r="61" spans="1:26" s="1" customFormat="1" ht="25.5">
      <c r="A61" s="10">
        <v>52</v>
      </c>
      <c r="B61" s="11" t="s">
        <v>205</v>
      </c>
      <c r="C61" s="12">
        <v>2.5</v>
      </c>
      <c r="D61" s="109">
        <v>0.11</v>
      </c>
      <c r="E61" s="59">
        <v>1.35</v>
      </c>
      <c r="F61" s="14">
        <v>120</v>
      </c>
      <c r="G61" s="16">
        <f t="shared" si="0"/>
        <v>1.35</v>
      </c>
      <c r="H61" s="93">
        <v>0</v>
      </c>
      <c r="I61" s="16">
        <f t="shared" si="1"/>
        <v>1.35</v>
      </c>
      <c r="J61" s="16">
        <f t="shared" si="2"/>
        <v>1.24</v>
      </c>
      <c r="K61" s="17">
        <f t="shared" si="10"/>
        <v>1.24</v>
      </c>
      <c r="L61" s="18" t="str">
        <f>IF(K61&lt;0,"closed","opened")</f>
        <v>opened</v>
      </c>
      <c r="M61" s="104"/>
      <c r="N61" s="142">
        <v>52</v>
      </c>
      <c r="O61" s="11" t="s">
        <v>205</v>
      </c>
      <c r="P61" s="12">
        <v>2.5</v>
      </c>
      <c r="Q61" s="108">
        <v>0</v>
      </c>
      <c r="R61" s="145">
        <f>Q61+Костромаэнерго!D61</f>
        <v>0.11</v>
      </c>
      <c r="S61" s="13">
        <v>1.35</v>
      </c>
      <c r="T61" s="14">
        <v>120</v>
      </c>
      <c r="U61" s="50">
        <f t="shared" si="4"/>
        <v>-1.24</v>
      </c>
      <c r="V61" s="50">
        <v>0</v>
      </c>
      <c r="W61" s="50">
        <f t="shared" si="5"/>
        <v>1.35</v>
      </c>
      <c r="X61" s="21">
        <f t="shared" si="6"/>
        <v>1.24</v>
      </c>
      <c r="Y61" s="16">
        <f t="shared" si="11"/>
        <v>1.24</v>
      </c>
      <c r="Z61" s="18" t="str">
        <f>IF(Y61&lt;0,"closed","opened")</f>
        <v>opened</v>
      </c>
    </row>
    <row r="62" spans="1:26" s="1" customFormat="1" ht="25.5">
      <c r="A62" s="10">
        <v>53</v>
      </c>
      <c r="B62" s="11" t="s">
        <v>206</v>
      </c>
      <c r="C62" s="12">
        <v>1.6</v>
      </c>
      <c r="D62" s="109">
        <v>0.09</v>
      </c>
      <c r="E62" s="59">
        <v>0.72</v>
      </c>
      <c r="F62" s="14">
        <v>120</v>
      </c>
      <c r="G62" s="16">
        <f t="shared" si="0"/>
        <v>0.72</v>
      </c>
      <c r="H62" s="93">
        <v>0</v>
      </c>
      <c r="I62" s="16">
        <f t="shared" si="1"/>
        <v>0.72</v>
      </c>
      <c r="J62" s="16">
        <f t="shared" si="2"/>
        <v>0.63</v>
      </c>
      <c r="K62" s="17">
        <f t="shared" si="10"/>
        <v>0.63</v>
      </c>
      <c r="L62" s="74" t="str">
        <f>IF(K62&lt;0,"closed","opened")</f>
        <v>opened</v>
      </c>
      <c r="M62" s="104"/>
      <c r="N62" s="142">
        <v>53</v>
      </c>
      <c r="O62" s="11" t="s">
        <v>206</v>
      </c>
      <c r="P62" s="12">
        <v>1.6</v>
      </c>
      <c r="Q62" s="108">
        <v>0</v>
      </c>
      <c r="R62" s="145">
        <f>Q62+Костромаэнерго!D62</f>
        <v>0.09</v>
      </c>
      <c r="S62" s="13">
        <v>0.72</v>
      </c>
      <c r="T62" s="14">
        <v>120</v>
      </c>
      <c r="U62" s="50">
        <f t="shared" si="4"/>
        <v>-0.63</v>
      </c>
      <c r="V62" s="50">
        <v>0</v>
      </c>
      <c r="W62" s="50">
        <f t="shared" si="5"/>
        <v>0.72</v>
      </c>
      <c r="X62" s="21">
        <f t="shared" si="6"/>
        <v>0.63</v>
      </c>
      <c r="Y62" s="16">
        <f t="shared" si="11"/>
        <v>0.63</v>
      </c>
      <c r="Z62" s="74" t="str">
        <f>IF(Y62&lt;0,"closed","opened")</f>
        <v>opened</v>
      </c>
    </row>
    <row r="63" spans="1:26" s="1" customFormat="1" ht="25.5">
      <c r="A63" s="10">
        <v>54</v>
      </c>
      <c r="B63" s="11" t="s">
        <v>207</v>
      </c>
      <c r="C63" s="12">
        <v>2.5</v>
      </c>
      <c r="D63" s="109">
        <v>0.06</v>
      </c>
      <c r="E63" s="59">
        <v>1.38</v>
      </c>
      <c r="F63" s="14">
        <v>120</v>
      </c>
      <c r="G63" s="16">
        <f t="shared" si="0"/>
        <v>1.38</v>
      </c>
      <c r="H63" s="93">
        <v>0</v>
      </c>
      <c r="I63" s="15">
        <f t="shared" si="1"/>
        <v>1.38</v>
      </c>
      <c r="J63" s="16">
        <f t="shared" si="2"/>
        <v>1.3199999999999998</v>
      </c>
      <c r="K63" s="17">
        <f t="shared" si="10"/>
        <v>1.3199999999999998</v>
      </c>
      <c r="L63" s="84" t="str">
        <f>IF(K63&lt;0,"closed","opened")</f>
        <v>opened</v>
      </c>
      <c r="M63" s="104"/>
      <c r="N63" s="142">
        <v>54</v>
      </c>
      <c r="O63" s="11" t="s">
        <v>207</v>
      </c>
      <c r="P63" s="12">
        <v>2.5</v>
      </c>
      <c r="Q63" s="108">
        <v>0</v>
      </c>
      <c r="R63" s="145">
        <f>Q63+Костромаэнерго!D63</f>
        <v>0.06</v>
      </c>
      <c r="S63" s="13">
        <v>1.38</v>
      </c>
      <c r="T63" s="14">
        <v>120</v>
      </c>
      <c r="U63" s="50">
        <f t="shared" si="4"/>
        <v>-1.3199999999999998</v>
      </c>
      <c r="V63" s="50">
        <v>0</v>
      </c>
      <c r="W63" s="50">
        <f t="shared" si="5"/>
        <v>1.38</v>
      </c>
      <c r="X63" s="21">
        <f t="shared" si="6"/>
        <v>1.3199999999999998</v>
      </c>
      <c r="Y63" s="16">
        <f t="shared" si="11"/>
        <v>1.3199999999999998</v>
      </c>
      <c r="Z63" s="84" t="str">
        <f>IF(Y63&lt;0,"closed","opened")</f>
        <v>opened</v>
      </c>
    </row>
    <row r="64" spans="1:26" s="1" customFormat="1" ht="25.5">
      <c r="A64" s="10">
        <v>55</v>
      </c>
      <c r="B64" s="11" t="s">
        <v>208</v>
      </c>
      <c r="C64" s="12">
        <v>6.3</v>
      </c>
      <c r="D64" s="109">
        <v>0.52</v>
      </c>
      <c r="E64" s="59">
        <v>3.47</v>
      </c>
      <c r="F64" s="14">
        <v>120</v>
      </c>
      <c r="G64" s="15">
        <f t="shared" si="0"/>
        <v>3.47</v>
      </c>
      <c r="H64" s="93">
        <v>0</v>
      </c>
      <c r="I64" s="16">
        <f t="shared" si="1"/>
        <v>3.47</v>
      </c>
      <c r="J64" s="16">
        <f t="shared" si="2"/>
        <v>2.95</v>
      </c>
      <c r="K64" s="17">
        <f t="shared" si="10"/>
        <v>2.95</v>
      </c>
      <c r="L64" s="18" t="str">
        <f>IF(K64&lt;0,"closed","opened")</f>
        <v>opened</v>
      </c>
      <c r="M64" s="104"/>
      <c r="N64" s="142">
        <v>55</v>
      </c>
      <c r="O64" s="11" t="s">
        <v>208</v>
      </c>
      <c r="P64" s="12">
        <v>6.3</v>
      </c>
      <c r="Q64" s="108">
        <v>0.006</v>
      </c>
      <c r="R64" s="145">
        <f>Q64+Костромаэнерго!D64</f>
        <v>0.526</v>
      </c>
      <c r="S64" s="13">
        <v>3.47</v>
      </c>
      <c r="T64" s="14">
        <v>120</v>
      </c>
      <c r="U64" s="50">
        <f t="shared" si="4"/>
        <v>-2.944</v>
      </c>
      <c r="V64" s="50">
        <v>0</v>
      </c>
      <c r="W64" s="50">
        <f t="shared" si="5"/>
        <v>3.47</v>
      </c>
      <c r="X64" s="21">
        <f t="shared" si="6"/>
        <v>2.944</v>
      </c>
      <c r="Y64" s="16">
        <f t="shared" si="11"/>
        <v>2.944</v>
      </c>
      <c r="Z64" s="18" t="str">
        <f>IF(Y64&lt;0,"closed","opened")</f>
        <v>opened</v>
      </c>
    </row>
    <row r="65" spans="1:26" s="1" customFormat="1" ht="25.5">
      <c r="A65" s="10">
        <v>56</v>
      </c>
      <c r="B65" s="11" t="s">
        <v>209</v>
      </c>
      <c r="C65" s="12">
        <v>6.3</v>
      </c>
      <c r="D65" s="109">
        <v>1.41</v>
      </c>
      <c r="E65" s="59">
        <v>3.47</v>
      </c>
      <c r="F65" s="14">
        <v>120</v>
      </c>
      <c r="G65" s="19">
        <f t="shared" si="0"/>
        <v>3.47</v>
      </c>
      <c r="H65" s="93">
        <v>0</v>
      </c>
      <c r="I65" s="15">
        <f t="shared" si="1"/>
        <v>3.47</v>
      </c>
      <c r="J65" s="16">
        <f t="shared" si="2"/>
        <v>2.0600000000000005</v>
      </c>
      <c r="K65" s="17">
        <f t="shared" si="10"/>
        <v>2.0600000000000005</v>
      </c>
      <c r="L65" s="18" t="str">
        <f>IF(K65&lt;0,"closed","opened")</f>
        <v>opened</v>
      </c>
      <c r="M65" s="104"/>
      <c r="N65" s="142">
        <v>56</v>
      </c>
      <c r="O65" s="11" t="s">
        <v>209</v>
      </c>
      <c r="P65" s="12">
        <v>6.3</v>
      </c>
      <c r="Q65" s="108">
        <v>0.083</v>
      </c>
      <c r="R65" s="145">
        <f>Q65+Костромаэнерго!D65</f>
        <v>1.4929999999999999</v>
      </c>
      <c r="S65" s="13">
        <v>3.47</v>
      </c>
      <c r="T65" s="14">
        <v>120</v>
      </c>
      <c r="U65" s="50">
        <f t="shared" si="4"/>
        <v>-1.9770000000000003</v>
      </c>
      <c r="V65" s="50">
        <v>0</v>
      </c>
      <c r="W65" s="50">
        <f t="shared" si="5"/>
        <v>3.47</v>
      </c>
      <c r="X65" s="21">
        <f t="shared" si="6"/>
        <v>1.9770000000000003</v>
      </c>
      <c r="Y65" s="16">
        <f t="shared" si="11"/>
        <v>1.9770000000000003</v>
      </c>
      <c r="Z65" s="18" t="str">
        <f>IF(Y65&lt;0,"closed","opened")</f>
        <v>opened</v>
      </c>
    </row>
    <row r="66" spans="1:26" s="1" customFormat="1" ht="25.5">
      <c r="A66" s="10">
        <v>57</v>
      </c>
      <c r="B66" s="11" t="s">
        <v>210</v>
      </c>
      <c r="C66" s="12">
        <v>2.5</v>
      </c>
      <c r="D66" s="109">
        <v>0.17</v>
      </c>
      <c r="E66" s="59">
        <v>1.33</v>
      </c>
      <c r="F66" s="14">
        <v>120</v>
      </c>
      <c r="G66" s="16">
        <f t="shared" si="0"/>
        <v>1.33</v>
      </c>
      <c r="H66" s="93">
        <v>0</v>
      </c>
      <c r="I66" s="16">
        <f t="shared" si="1"/>
        <v>1.33</v>
      </c>
      <c r="J66" s="16">
        <f t="shared" si="2"/>
        <v>1.1600000000000001</v>
      </c>
      <c r="K66" s="17">
        <f t="shared" si="10"/>
        <v>1.1600000000000001</v>
      </c>
      <c r="L66" s="74" t="str">
        <f>IF(K66&lt;0,"closed","opened")</f>
        <v>opened</v>
      </c>
      <c r="M66" s="104"/>
      <c r="N66" s="142">
        <v>57</v>
      </c>
      <c r="O66" s="11" t="s">
        <v>210</v>
      </c>
      <c r="P66" s="12">
        <v>2.5</v>
      </c>
      <c r="Q66" s="108">
        <v>0</v>
      </c>
      <c r="R66" s="145">
        <f>Q66+Костромаэнерго!D66</f>
        <v>0.17</v>
      </c>
      <c r="S66" s="13">
        <v>1.33</v>
      </c>
      <c r="T66" s="14">
        <v>120</v>
      </c>
      <c r="U66" s="50">
        <f t="shared" si="4"/>
        <v>-1.1600000000000001</v>
      </c>
      <c r="V66" s="50">
        <v>0</v>
      </c>
      <c r="W66" s="50">
        <f t="shared" si="5"/>
        <v>1.33</v>
      </c>
      <c r="X66" s="21">
        <f t="shared" si="6"/>
        <v>1.1600000000000001</v>
      </c>
      <c r="Y66" s="16">
        <f t="shared" si="11"/>
        <v>1.1600000000000001</v>
      </c>
      <c r="Z66" s="74" t="str">
        <f>IF(Y66&lt;0,"closed","opened")</f>
        <v>opened</v>
      </c>
    </row>
    <row r="67" spans="1:26" s="1" customFormat="1" ht="25.5">
      <c r="A67" s="10">
        <v>58</v>
      </c>
      <c r="B67" s="11" t="s">
        <v>211</v>
      </c>
      <c r="C67" s="12">
        <v>1.6</v>
      </c>
      <c r="D67" s="109">
        <v>0.33</v>
      </c>
      <c r="E67" s="59">
        <v>0.88</v>
      </c>
      <c r="F67" s="14">
        <v>120</v>
      </c>
      <c r="G67" s="15">
        <f t="shared" si="0"/>
        <v>0.88</v>
      </c>
      <c r="H67" s="93">
        <v>0</v>
      </c>
      <c r="I67" s="16">
        <f t="shared" si="1"/>
        <v>0.88</v>
      </c>
      <c r="J67" s="16">
        <f t="shared" si="2"/>
        <v>0.55</v>
      </c>
      <c r="K67" s="17">
        <f t="shared" si="10"/>
        <v>0.55</v>
      </c>
      <c r="L67" s="18" t="str">
        <f>IF(K67&lt;0,"closed","opened")</f>
        <v>opened</v>
      </c>
      <c r="M67" s="104"/>
      <c r="N67" s="142">
        <v>58</v>
      </c>
      <c r="O67" s="11" t="s">
        <v>211</v>
      </c>
      <c r="P67" s="12">
        <v>1.6</v>
      </c>
      <c r="Q67" s="108">
        <v>0.017</v>
      </c>
      <c r="R67" s="145">
        <f>Q67+Костромаэнерго!D67</f>
        <v>0.34700000000000003</v>
      </c>
      <c r="S67" s="13">
        <v>0.88</v>
      </c>
      <c r="T67" s="14">
        <v>120</v>
      </c>
      <c r="U67" s="50">
        <f t="shared" si="4"/>
        <v>-0.5329999999999999</v>
      </c>
      <c r="V67" s="50">
        <v>0</v>
      </c>
      <c r="W67" s="50">
        <f t="shared" si="5"/>
        <v>0.88</v>
      </c>
      <c r="X67" s="21">
        <f t="shared" si="6"/>
        <v>0.5329999999999999</v>
      </c>
      <c r="Y67" s="16">
        <f t="shared" si="11"/>
        <v>0.5329999999999999</v>
      </c>
      <c r="Z67" s="18" t="str">
        <f>IF(Y67&lt;0,"closed","opened")</f>
        <v>opened</v>
      </c>
    </row>
    <row r="68" spans="1:26" s="1" customFormat="1" ht="25.5">
      <c r="A68" s="10">
        <v>59</v>
      </c>
      <c r="B68" s="11" t="s">
        <v>212</v>
      </c>
      <c r="C68" s="12">
        <v>6.3</v>
      </c>
      <c r="D68" s="109">
        <v>0.58</v>
      </c>
      <c r="E68" s="59">
        <v>2.5</v>
      </c>
      <c r="F68" s="14" t="s">
        <v>225</v>
      </c>
      <c r="G68" s="19">
        <f t="shared" si="0"/>
        <v>2.5</v>
      </c>
      <c r="H68" s="93">
        <v>0</v>
      </c>
      <c r="I68" s="15">
        <f t="shared" si="1"/>
        <v>2.5</v>
      </c>
      <c r="J68" s="16">
        <f t="shared" si="2"/>
        <v>1.92</v>
      </c>
      <c r="K68" s="17">
        <f t="shared" si="10"/>
        <v>1.92</v>
      </c>
      <c r="L68" s="74" t="str">
        <f>IF(K68&lt;0,"closed","opened")</f>
        <v>opened</v>
      </c>
      <c r="M68" s="104"/>
      <c r="N68" s="142">
        <v>59</v>
      </c>
      <c r="O68" s="11" t="s">
        <v>212</v>
      </c>
      <c r="P68" s="12">
        <v>6.3</v>
      </c>
      <c r="Q68" s="108">
        <v>0.041</v>
      </c>
      <c r="R68" s="145">
        <f>Q68+Костромаэнерго!D68</f>
        <v>0.621</v>
      </c>
      <c r="S68" s="13">
        <v>2.5</v>
      </c>
      <c r="T68" s="14" t="s">
        <v>225</v>
      </c>
      <c r="U68" s="50">
        <f t="shared" si="4"/>
        <v>-1.879</v>
      </c>
      <c r="V68" s="50">
        <v>0</v>
      </c>
      <c r="W68" s="50">
        <f t="shared" si="5"/>
        <v>2.5</v>
      </c>
      <c r="X68" s="21">
        <f t="shared" si="6"/>
        <v>1.879</v>
      </c>
      <c r="Y68" s="16">
        <f t="shared" si="11"/>
        <v>1.879</v>
      </c>
      <c r="Z68" s="74" t="str">
        <f>IF(Y68&lt;0,"closed","opened")</f>
        <v>opened</v>
      </c>
    </row>
    <row r="69" spans="1:26" s="1" customFormat="1" ht="25.5">
      <c r="A69" s="10">
        <v>60</v>
      </c>
      <c r="B69" s="11" t="s">
        <v>213</v>
      </c>
      <c r="C69" s="12">
        <v>1</v>
      </c>
      <c r="D69" s="109">
        <v>0.06</v>
      </c>
      <c r="E69" s="59">
        <v>0.12</v>
      </c>
      <c r="F69" s="14">
        <v>120</v>
      </c>
      <c r="G69" s="19">
        <f t="shared" si="0"/>
        <v>0.12</v>
      </c>
      <c r="H69" s="93">
        <v>0</v>
      </c>
      <c r="I69" s="16">
        <f t="shared" si="1"/>
        <v>0.12</v>
      </c>
      <c r="J69" s="16">
        <f t="shared" si="2"/>
        <v>0.06</v>
      </c>
      <c r="K69" s="17">
        <f t="shared" si="10"/>
        <v>0.06</v>
      </c>
      <c r="L69" s="18" t="str">
        <f>IF(K69&lt;0,"closed","opened")</f>
        <v>opened</v>
      </c>
      <c r="M69" s="104"/>
      <c r="N69" s="142">
        <v>60</v>
      </c>
      <c r="O69" s="11" t="s">
        <v>213</v>
      </c>
      <c r="P69" s="12">
        <v>1</v>
      </c>
      <c r="Q69" s="108">
        <v>0</v>
      </c>
      <c r="R69" s="145">
        <f>Q69+Костромаэнерго!D69</f>
        <v>0.06</v>
      </c>
      <c r="S69" s="13">
        <v>0.12</v>
      </c>
      <c r="T69" s="14">
        <v>120</v>
      </c>
      <c r="U69" s="50">
        <f t="shared" si="4"/>
        <v>-0.06</v>
      </c>
      <c r="V69" s="50">
        <v>0</v>
      </c>
      <c r="W69" s="50">
        <f t="shared" si="5"/>
        <v>0.12</v>
      </c>
      <c r="X69" s="21">
        <f t="shared" si="6"/>
        <v>0.06</v>
      </c>
      <c r="Y69" s="16">
        <f t="shared" si="11"/>
        <v>0.06</v>
      </c>
      <c r="Z69" s="18" t="str">
        <f>IF(Y69&lt;0,"closed","opened")</f>
        <v>opened</v>
      </c>
    </row>
    <row r="70" spans="1:26" s="1" customFormat="1" ht="26.25" thickBot="1">
      <c r="A70" s="23">
        <v>61</v>
      </c>
      <c r="B70" s="24" t="s">
        <v>214</v>
      </c>
      <c r="C70" s="25">
        <v>1</v>
      </c>
      <c r="D70" s="109">
        <v>0.19</v>
      </c>
      <c r="E70" s="60">
        <v>0.45</v>
      </c>
      <c r="F70" s="14">
        <v>120</v>
      </c>
      <c r="G70" s="19">
        <f>E70</f>
        <v>0.45</v>
      </c>
      <c r="H70" s="93">
        <v>0</v>
      </c>
      <c r="I70" s="53">
        <f>G70-H70</f>
        <v>0.45</v>
      </c>
      <c r="J70" s="16">
        <f>I70-D70</f>
        <v>0.26</v>
      </c>
      <c r="K70" s="17">
        <f t="shared" si="10"/>
        <v>0.26</v>
      </c>
      <c r="L70" s="74" t="str">
        <f>IF(K70&lt;0,"closed","opened")</f>
        <v>opened</v>
      </c>
      <c r="M70" s="104"/>
      <c r="N70" s="147">
        <v>61</v>
      </c>
      <c r="O70" s="24" t="s">
        <v>214</v>
      </c>
      <c r="P70" s="25">
        <v>1</v>
      </c>
      <c r="Q70" s="108">
        <v>0.063</v>
      </c>
      <c r="R70" s="145">
        <f>Q70+Костромаэнерго!D70</f>
        <v>0.253</v>
      </c>
      <c r="S70" s="148">
        <v>0.45</v>
      </c>
      <c r="T70" s="14">
        <v>120</v>
      </c>
      <c r="U70" s="50">
        <f>R70-S70</f>
        <v>-0.197</v>
      </c>
      <c r="V70" s="50">
        <v>0</v>
      </c>
      <c r="W70" s="50">
        <f>S70</f>
        <v>0.45</v>
      </c>
      <c r="X70" s="21">
        <f>W70-R70</f>
        <v>0.197</v>
      </c>
      <c r="Y70" s="53">
        <f t="shared" si="11"/>
        <v>0.197</v>
      </c>
      <c r="Z70" s="74" t="str">
        <f>IF(Y70&lt;0,"closed","opened")</f>
        <v>opened</v>
      </c>
    </row>
    <row r="71" spans="1:26" s="1" customFormat="1" ht="16.5" customHeight="1" thickBot="1">
      <c r="A71" s="178" t="s">
        <v>153</v>
      </c>
      <c r="B71" s="179"/>
      <c r="C71" s="179"/>
      <c r="D71" s="179"/>
      <c r="E71" s="179"/>
      <c r="F71" s="179"/>
      <c r="G71" s="179"/>
      <c r="H71" s="179"/>
      <c r="I71" s="179"/>
      <c r="J71" s="237"/>
      <c r="K71" s="179"/>
      <c r="L71" s="180"/>
      <c r="M71" s="104"/>
      <c r="N71" s="174" t="s">
        <v>153</v>
      </c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6"/>
      <c r="Z71" s="177"/>
    </row>
    <row r="72" spans="1:26" s="1" customFormat="1" ht="25.5">
      <c r="A72" s="238">
        <v>62</v>
      </c>
      <c r="B72" s="68" t="s">
        <v>47</v>
      </c>
      <c r="C72" s="26" t="s">
        <v>2</v>
      </c>
      <c r="D72" s="98">
        <f>D73+D74</f>
        <v>2.13</v>
      </c>
      <c r="E72" s="94">
        <f>E74+E73</f>
        <v>0.86</v>
      </c>
      <c r="F72" s="7">
        <v>120</v>
      </c>
      <c r="G72" s="52">
        <f>D72-E72</f>
        <v>1.27</v>
      </c>
      <c r="H72" s="96">
        <v>0</v>
      </c>
      <c r="I72" s="27">
        <f>10*1.05</f>
        <v>10.5</v>
      </c>
      <c r="J72" s="27">
        <f>I72-G72-H72</f>
        <v>9.23</v>
      </c>
      <c r="K72" s="239">
        <f>MIN(J72:J74)</f>
        <v>9.23</v>
      </c>
      <c r="L72" s="182" t="str">
        <f>IF(K72&lt;0,"closed","opened")</f>
        <v>opened</v>
      </c>
      <c r="M72" s="104"/>
      <c r="N72" s="181">
        <v>62</v>
      </c>
      <c r="O72" s="68" t="s">
        <v>47</v>
      </c>
      <c r="P72" s="64" t="s">
        <v>2</v>
      </c>
      <c r="Q72" s="146">
        <v>3.671</v>
      </c>
      <c r="R72" s="34">
        <f>Q72+Костромаэнерго!D72</f>
        <v>5.801</v>
      </c>
      <c r="S72" s="149">
        <f>S74+S73</f>
        <v>0.86</v>
      </c>
      <c r="T72" s="7">
        <v>120</v>
      </c>
      <c r="U72" s="50">
        <f>R72-S72</f>
        <v>4.941</v>
      </c>
      <c r="V72" s="51">
        <v>0</v>
      </c>
      <c r="W72" s="27">
        <f>10*1.05</f>
        <v>10.5</v>
      </c>
      <c r="X72" s="83">
        <f>W72-V72-U72</f>
        <v>5.559</v>
      </c>
      <c r="Y72" s="211">
        <f>MIN(X72:X74)</f>
        <v>5.559</v>
      </c>
      <c r="Z72" s="182" t="str">
        <f>IF(Y72&lt;0,"closed","opened")</f>
        <v>opened</v>
      </c>
    </row>
    <row r="73" spans="1:26" s="1" customFormat="1" ht="15">
      <c r="A73" s="231"/>
      <c r="B73" s="261" t="s">
        <v>48</v>
      </c>
      <c r="C73" s="28" t="s">
        <v>2</v>
      </c>
      <c r="D73" s="99">
        <v>0.59</v>
      </c>
      <c r="E73" s="61">
        <v>0</v>
      </c>
      <c r="F73" s="14">
        <v>120</v>
      </c>
      <c r="G73" s="16">
        <f aca="true" t="shared" si="12" ref="G73:G137">D73-E73</f>
        <v>0.59</v>
      </c>
      <c r="H73" s="93">
        <v>0</v>
      </c>
      <c r="I73" s="30">
        <f>10*1.05</f>
        <v>10.5</v>
      </c>
      <c r="J73" s="30">
        <f>I73-D73</f>
        <v>9.91</v>
      </c>
      <c r="K73" s="207"/>
      <c r="L73" s="203"/>
      <c r="M73" s="104"/>
      <c r="N73" s="199"/>
      <c r="O73" s="261" t="s">
        <v>48</v>
      </c>
      <c r="P73" s="65" t="s">
        <v>2</v>
      </c>
      <c r="Q73" s="158">
        <v>0</v>
      </c>
      <c r="R73" s="34">
        <f>Q73+Костромаэнерго!D73</f>
        <v>0.59</v>
      </c>
      <c r="S73" s="29">
        <v>0</v>
      </c>
      <c r="T73" s="14">
        <v>120</v>
      </c>
      <c r="U73" s="50">
        <f aca="true" t="shared" si="13" ref="U73:U137">R73-S73</f>
        <v>0.59</v>
      </c>
      <c r="V73" s="51">
        <v>0</v>
      </c>
      <c r="W73" s="30">
        <f>10*1.05</f>
        <v>10.5</v>
      </c>
      <c r="X73" s="83">
        <f aca="true" t="shared" si="14" ref="X73:X137">W73-V73-U73</f>
        <v>9.91</v>
      </c>
      <c r="Y73" s="201"/>
      <c r="Z73" s="203"/>
    </row>
    <row r="74" spans="1:26" s="1" customFormat="1" ht="15">
      <c r="A74" s="232"/>
      <c r="B74" s="261" t="s">
        <v>49</v>
      </c>
      <c r="C74" s="28" t="s">
        <v>2</v>
      </c>
      <c r="D74" s="99">
        <v>1.54</v>
      </c>
      <c r="E74" s="61">
        <v>0.86</v>
      </c>
      <c r="F74" s="14">
        <v>120</v>
      </c>
      <c r="G74" s="15">
        <f t="shared" si="12"/>
        <v>0.68</v>
      </c>
      <c r="H74" s="93">
        <v>0</v>
      </c>
      <c r="I74" s="30">
        <f>10*1.05</f>
        <v>10.5</v>
      </c>
      <c r="J74" s="30">
        <f aca="true" t="shared" si="15" ref="J74:J135">I74-G74-H74</f>
        <v>9.82</v>
      </c>
      <c r="K74" s="207"/>
      <c r="L74" s="204"/>
      <c r="M74" s="104"/>
      <c r="N74" s="200"/>
      <c r="O74" s="261" t="s">
        <v>49</v>
      </c>
      <c r="P74" s="65" t="s">
        <v>2</v>
      </c>
      <c r="Q74" s="146">
        <v>3.671</v>
      </c>
      <c r="R74" s="34">
        <f>Q74+Костромаэнерго!D74</f>
        <v>5.211</v>
      </c>
      <c r="S74" s="29">
        <v>0.86</v>
      </c>
      <c r="T74" s="14">
        <v>120</v>
      </c>
      <c r="U74" s="50">
        <f t="shared" si="13"/>
        <v>4.351</v>
      </c>
      <c r="V74" s="51">
        <v>0</v>
      </c>
      <c r="W74" s="30">
        <f>10*1.05</f>
        <v>10.5</v>
      </c>
      <c r="X74" s="83">
        <f t="shared" si="14"/>
        <v>6.149</v>
      </c>
      <c r="Y74" s="201"/>
      <c r="Z74" s="204"/>
    </row>
    <row r="75" spans="1:26" s="1" customFormat="1" ht="25.5">
      <c r="A75" s="230">
        <v>63</v>
      </c>
      <c r="B75" s="31" t="s">
        <v>50</v>
      </c>
      <c r="C75" s="28" t="s">
        <v>3</v>
      </c>
      <c r="D75" s="99">
        <f>D76+D77</f>
        <v>6.12</v>
      </c>
      <c r="E75" s="95">
        <f>E77+E76</f>
        <v>1.15</v>
      </c>
      <c r="F75" s="14">
        <v>120</v>
      </c>
      <c r="G75" s="16">
        <f t="shared" si="12"/>
        <v>4.970000000000001</v>
      </c>
      <c r="H75" s="93">
        <v>0</v>
      </c>
      <c r="I75" s="30">
        <f>(10+1.6)*1.05</f>
        <v>12.18</v>
      </c>
      <c r="J75" s="30">
        <f t="shared" si="15"/>
        <v>7.209999999999999</v>
      </c>
      <c r="K75" s="236">
        <f>MIN(J75:J77)</f>
        <v>7.209999999999999</v>
      </c>
      <c r="L75" s="203" t="str">
        <f>IF(K75&lt;0,"closed","opened")</f>
        <v>opened</v>
      </c>
      <c r="M75" s="104"/>
      <c r="N75" s="198">
        <v>63</v>
      </c>
      <c r="O75" s="31" t="s">
        <v>50</v>
      </c>
      <c r="P75" s="65" t="s">
        <v>3</v>
      </c>
      <c r="Q75" s="146">
        <v>0.355</v>
      </c>
      <c r="R75" s="132">
        <f>R77+R76</f>
        <v>6.475</v>
      </c>
      <c r="S75" s="101">
        <f>S77+S76</f>
        <v>1.15</v>
      </c>
      <c r="T75" s="14">
        <v>120</v>
      </c>
      <c r="U75" s="50">
        <f>R75-S75</f>
        <v>5.324999999999999</v>
      </c>
      <c r="V75" s="51">
        <v>0</v>
      </c>
      <c r="W75" s="30">
        <f>(10+1.6)*1.05</f>
        <v>12.18</v>
      </c>
      <c r="X75" s="83">
        <f t="shared" si="14"/>
        <v>6.855</v>
      </c>
      <c r="Y75" s="211">
        <f>MIN(X75:X77)</f>
        <v>6.855</v>
      </c>
      <c r="Z75" s="203" t="str">
        <f>IF(Y75&lt;0,"closed","opened")</f>
        <v>opened</v>
      </c>
    </row>
    <row r="76" spans="1:26" s="1" customFormat="1" ht="15">
      <c r="A76" s="231"/>
      <c r="B76" s="261" t="s">
        <v>48</v>
      </c>
      <c r="C76" s="28" t="s">
        <v>3</v>
      </c>
      <c r="D76" s="99">
        <v>4.59</v>
      </c>
      <c r="E76" s="34">
        <v>0</v>
      </c>
      <c r="F76" s="14">
        <v>120</v>
      </c>
      <c r="G76" s="15">
        <f t="shared" si="12"/>
        <v>4.59</v>
      </c>
      <c r="H76" s="93">
        <v>0</v>
      </c>
      <c r="I76" s="30">
        <f>(10+1.6)*1.05</f>
        <v>12.18</v>
      </c>
      <c r="J76" s="30">
        <f>I76-D76</f>
        <v>7.59</v>
      </c>
      <c r="K76" s="236"/>
      <c r="L76" s="203"/>
      <c r="M76" s="104"/>
      <c r="N76" s="199"/>
      <c r="O76" s="261" t="s">
        <v>48</v>
      </c>
      <c r="P76" s="65" t="s">
        <v>3</v>
      </c>
      <c r="Q76" s="158">
        <v>0</v>
      </c>
      <c r="R76" s="34">
        <f>Q76+Костромаэнерго!D76</f>
        <v>4.59</v>
      </c>
      <c r="S76" s="29">
        <v>0</v>
      </c>
      <c r="T76" s="14">
        <v>120</v>
      </c>
      <c r="U76" s="50">
        <f t="shared" si="13"/>
        <v>4.59</v>
      </c>
      <c r="V76" s="51">
        <v>0</v>
      </c>
      <c r="W76" s="30">
        <f>(10+1.6)*1.05</f>
        <v>12.18</v>
      </c>
      <c r="X76" s="83">
        <f t="shared" si="14"/>
        <v>7.59</v>
      </c>
      <c r="Y76" s="201"/>
      <c r="Z76" s="203"/>
    </row>
    <row r="77" spans="1:26" s="1" customFormat="1" ht="15">
      <c r="A77" s="232"/>
      <c r="B77" s="261" t="s">
        <v>49</v>
      </c>
      <c r="C77" s="28" t="s">
        <v>3</v>
      </c>
      <c r="D77" s="99">
        <v>1.53</v>
      </c>
      <c r="E77" s="34">
        <v>1.15</v>
      </c>
      <c r="F77" s="14">
        <v>120</v>
      </c>
      <c r="G77" s="19">
        <f t="shared" si="12"/>
        <v>0.3800000000000001</v>
      </c>
      <c r="H77" s="93">
        <v>0</v>
      </c>
      <c r="I77" s="30">
        <f>(10+1.6)*1.05</f>
        <v>12.18</v>
      </c>
      <c r="J77" s="30">
        <f t="shared" si="15"/>
        <v>11.799999999999999</v>
      </c>
      <c r="K77" s="236"/>
      <c r="L77" s="203"/>
      <c r="M77" s="104"/>
      <c r="N77" s="200"/>
      <c r="O77" s="261" t="s">
        <v>49</v>
      </c>
      <c r="P77" s="65" t="s">
        <v>3</v>
      </c>
      <c r="Q77" s="146">
        <v>0.355</v>
      </c>
      <c r="R77" s="34">
        <f>Q77+Костромаэнерго!D77</f>
        <v>1.885</v>
      </c>
      <c r="S77" s="29">
        <v>1.15</v>
      </c>
      <c r="T77" s="14">
        <v>120</v>
      </c>
      <c r="U77" s="50">
        <f t="shared" si="13"/>
        <v>0.7350000000000001</v>
      </c>
      <c r="V77" s="51">
        <v>0</v>
      </c>
      <c r="W77" s="30">
        <f>(10+1.6)*1.05</f>
        <v>12.18</v>
      </c>
      <c r="X77" s="83">
        <f t="shared" si="14"/>
        <v>11.445</v>
      </c>
      <c r="Y77" s="201"/>
      <c r="Z77" s="203"/>
    </row>
    <row r="78" spans="1:26" s="1" customFormat="1" ht="25.5">
      <c r="A78" s="10">
        <v>64</v>
      </c>
      <c r="B78" s="31" t="s">
        <v>51</v>
      </c>
      <c r="C78" s="28" t="s">
        <v>4</v>
      </c>
      <c r="D78" s="117">
        <v>1.73</v>
      </c>
      <c r="E78" s="34">
        <v>0.425</v>
      </c>
      <c r="F78" s="14">
        <v>120</v>
      </c>
      <c r="G78" s="16">
        <f t="shared" si="12"/>
        <v>1.305</v>
      </c>
      <c r="H78" s="93">
        <v>0</v>
      </c>
      <c r="I78" s="30">
        <f>2.5*1.05</f>
        <v>2.625</v>
      </c>
      <c r="J78" s="30">
        <f t="shared" si="15"/>
        <v>1.32</v>
      </c>
      <c r="K78" s="33">
        <f>J78</f>
        <v>1.32</v>
      </c>
      <c r="L78" s="84" t="str">
        <f>IF(K78&lt;0,"closed","opened")</f>
        <v>opened</v>
      </c>
      <c r="M78" s="104"/>
      <c r="N78" s="73">
        <v>64</v>
      </c>
      <c r="O78" s="31" t="s">
        <v>51</v>
      </c>
      <c r="P78" s="65" t="s">
        <v>4</v>
      </c>
      <c r="Q78" s="131">
        <v>0.769</v>
      </c>
      <c r="R78" s="34">
        <f>Q78+Костромаэнерго!D78</f>
        <v>2.499</v>
      </c>
      <c r="S78" s="34">
        <v>0.425</v>
      </c>
      <c r="T78" s="14">
        <v>120</v>
      </c>
      <c r="U78" s="50">
        <f t="shared" si="13"/>
        <v>2.0740000000000003</v>
      </c>
      <c r="V78" s="51">
        <v>0</v>
      </c>
      <c r="W78" s="30">
        <f>2.5*1.05</f>
        <v>2.625</v>
      </c>
      <c r="X78" s="83">
        <f t="shared" si="14"/>
        <v>0.5509999999999997</v>
      </c>
      <c r="Y78" s="82">
        <f>X78</f>
        <v>0.5509999999999997</v>
      </c>
      <c r="Z78" s="84" t="str">
        <f>IF(Y78&lt;0,"closed","opened")</f>
        <v>opened</v>
      </c>
    </row>
    <row r="79" spans="1:26" s="1" customFormat="1" ht="25.5">
      <c r="A79" s="10">
        <v>65</v>
      </c>
      <c r="B79" s="31" t="s">
        <v>52</v>
      </c>
      <c r="C79" s="28" t="s">
        <v>5</v>
      </c>
      <c r="D79" s="119">
        <v>0.63</v>
      </c>
      <c r="E79" s="61">
        <v>0.62</v>
      </c>
      <c r="F79" s="14">
        <v>120</v>
      </c>
      <c r="G79" s="16">
        <f t="shared" si="12"/>
        <v>0.010000000000000009</v>
      </c>
      <c r="H79" s="93">
        <v>0</v>
      </c>
      <c r="I79" s="30">
        <f>1.05*4</f>
        <v>4.2</v>
      </c>
      <c r="J79" s="30">
        <f t="shared" si="15"/>
        <v>4.19</v>
      </c>
      <c r="K79" s="33">
        <f aca="true" t="shared" si="16" ref="K79:K90">J79</f>
        <v>4.19</v>
      </c>
      <c r="L79" s="18" t="str">
        <f>IF(K79&lt;0,"closed","opened")</f>
        <v>opened</v>
      </c>
      <c r="M79" s="104"/>
      <c r="N79" s="73">
        <v>65</v>
      </c>
      <c r="O79" s="31" t="s">
        <v>52</v>
      </c>
      <c r="P79" s="65" t="s">
        <v>5</v>
      </c>
      <c r="Q79" s="131">
        <v>0.457</v>
      </c>
      <c r="R79" s="34">
        <f>Q79+Костромаэнерго!D79</f>
        <v>1.087</v>
      </c>
      <c r="S79" s="34">
        <v>0.62</v>
      </c>
      <c r="T79" s="14">
        <v>120</v>
      </c>
      <c r="U79" s="50">
        <f t="shared" si="13"/>
        <v>0.46699999999999997</v>
      </c>
      <c r="V79" s="51">
        <v>0</v>
      </c>
      <c r="W79" s="30">
        <f>1.05*4</f>
        <v>4.2</v>
      </c>
      <c r="X79" s="83">
        <f t="shared" si="14"/>
        <v>3.733</v>
      </c>
      <c r="Y79" s="82">
        <f aca="true" t="shared" si="17" ref="Y79:Y90">X79</f>
        <v>3.733</v>
      </c>
      <c r="Z79" s="84" t="str">
        <f>IF(Y79&lt;0,"closed","opened")</f>
        <v>opened</v>
      </c>
    </row>
    <row r="80" spans="1:26" s="1" customFormat="1" ht="25.5">
      <c r="A80" s="10">
        <v>66</v>
      </c>
      <c r="B80" s="31" t="s">
        <v>53</v>
      </c>
      <c r="C80" s="28" t="s">
        <v>6</v>
      </c>
      <c r="D80" s="119">
        <v>0.2</v>
      </c>
      <c r="E80" s="61">
        <v>0.11</v>
      </c>
      <c r="F80" s="14">
        <v>120</v>
      </c>
      <c r="G80" s="16">
        <f t="shared" si="12"/>
        <v>0.09000000000000001</v>
      </c>
      <c r="H80" s="93">
        <v>0</v>
      </c>
      <c r="I80" s="30">
        <f>1.05*1.6</f>
        <v>1.6800000000000002</v>
      </c>
      <c r="J80" s="30">
        <f t="shared" si="15"/>
        <v>1.59</v>
      </c>
      <c r="K80" s="33">
        <f t="shared" si="16"/>
        <v>1.59</v>
      </c>
      <c r="L80" s="74" t="str">
        <f>IF(K80&lt;0,"closed","opened")</f>
        <v>opened</v>
      </c>
      <c r="M80" s="104"/>
      <c r="N80" s="73">
        <v>66</v>
      </c>
      <c r="O80" s="31" t="s">
        <v>53</v>
      </c>
      <c r="P80" s="65" t="s">
        <v>6</v>
      </c>
      <c r="Q80" s="131">
        <v>0.039</v>
      </c>
      <c r="R80" s="34">
        <f>Q80+Костромаэнерго!D80</f>
        <v>0.23900000000000002</v>
      </c>
      <c r="S80" s="34">
        <v>0.11</v>
      </c>
      <c r="T80" s="14">
        <v>120</v>
      </c>
      <c r="U80" s="50">
        <f t="shared" si="13"/>
        <v>0.129</v>
      </c>
      <c r="V80" s="51">
        <v>0</v>
      </c>
      <c r="W80" s="30">
        <f>1.05*1.6</f>
        <v>1.6800000000000002</v>
      </c>
      <c r="X80" s="83">
        <f t="shared" si="14"/>
        <v>1.5510000000000002</v>
      </c>
      <c r="Y80" s="82">
        <f t="shared" si="17"/>
        <v>1.5510000000000002</v>
      </c>
      <c r="Z80" s="84" t="str">
        <f>IF(Y80&lt;0,"closed","opened")</f>
        <v>opened</v>
      </c>
    </row>
    <row r="81" spans="1:26" s="1" customFormat="1" ht="25.5">
      <c r="A81" s="10">
        <v>67</v>
      </c>
      <c r="B81" s="31" t="s">
        <v>54</v>
      </c>
      <c r="C81" s="28" t="s">
        <v>4</v>
      </c>
      <c r="D81" s="119">
        <v>2.33</v>
      </c>
      <c r="E81" s="61">
        <v>0.55</v>
      </c>
      <c r="F81" s="14">
        <v>120</v>
      </c>
      <c r="G81" s="16">
        <f t="shared" si="12"/>
        <v>1.78</v>
      </c>
      <c r="H81" s="93">
        <v>0</v>
      </c>
      <c r="I81" s="30">
        <f>1.05*2.5</f>
        <v>2.625</v>
      </c>
      <c r="J81" s="30">
        <f t="shared" si="15"/>
        <v>0.845</v>
      </c>
      <c r="K81" s="33">
        <f t="shared" si="16"/>
        <v>0.845</v>
      </c>
      <c r="L81" s="18" t="str">
        <f>IF(K81&lt;0,"closed","opened")</f>
        <v>opened</v>
      </c>
      <c r="M81" s="104"/>
      <c r="N81" s="73">
        <v>67</v>
      </c>
      <c r="O81" s="31" t="s">
        <v>54</v>
      </c>
      <c r="P81" s="65" t="s">
        <v>4</v>
      </c>
      <c r="Q81" s="131">
        <v>0.41</v>
      </c>
      <c r="R81" s="34">
        <f>Q81+Костромаэнерго!D81</f>
        <v>2.74</v>
      </c>
      <c r="S81" s="34">
        <v>0.55</v>
      </c>
      <c r="T81" s="14">
        <v>120</v>
      </c>
      <c r="U81" s="50">
        <f t="shared" si="13"/>
        <v>2.1900000000000004</v>
      </c>
      <c r="V81" s="51">
        <v>0</v>
      </c>
      <c r="W81" s="30">
        <f>1.05*2.5</f>
        <v>2.625</v>
      </c>
      <c r="X81" s="83">
        <f t="shared" si="14"/>
        <v>0.4349999999999996</v>
      </c>
      <c r="Y81" s="82">
        <f t="shared" si="17"/>
        <v>0.4349999999999996</v>
      </c>
      <c r="Z81" s="84" t="str">
        <f>IF(Y81&lt;0,"closed","opened")</f>
        <v>opened</v>
      </c>
    </row>
    <row r="82" spans="1:26" s="1" customFormat="1" ht="25.5">
      <c r="A82" s="10">
        <v>68</v>
      </c>
      <c r="B82" s="31" t="s">
        <v>55</v>
      </c>
      <c r="C82" s="28" t="s">
        <v>4</v>
      </c>
      <c r="D82" s="119">
        <v>1.1</v>
      </c>
      <c r="E82" s="61">
        <v>0.4</v>
      </c>
      <c r="F82" s="14">
        <v>120</v>
      </c>
      <c r="G82" s="15">
        <f t="shared" si="12"/>
        <v>0.7000000000000001</v>
      </c>
      <c r="H82" s="93">
        <v>0</v>
      </c>
      <c r="I82" s="30">
        <f>1.05*2.5</f>
        <v>2.625</v>
      </c>
      <c r="J82" s="30">
        <f t="shared" si="15"/>
        <v>1.9249999999999998</v>
      </c>
      <c r="K82" s="33">
        <f t="shared" si="16"/>
        <v>1.9249999999999998</v>
      </c>
      <c r="L82" s="74" t="str">
        <f>IF(K82&lt;0,"closed","opened")</f>
        <v>opened</v>
      </c>
      <c r="M82" s="104"/>
      <c r="N82" s="73">
        <v>68</v>
      </c>
      <c r="O82" s="31" t="s">
        <v>55</v>
      </c>
      <c r="P82" s="65" t="s">
        <v>4</v>
      </c>
      <c r="Q82" s="131">
        <v>0.174</v>
      </c>
      <c r="R82" s="34">
        <f>Q82+Костромаэнерго!D82</f>
        <v>1.274</v>
      </c>
      <c r="S82" s="34">
        <v>0.4</v>
      </c>
      <c r="T82" s="14">
        <v>120</v>
      </c>
      <c r="U82" s="50">
        <f t="shared" si="13"/>
        <v>0.874</v>
      </c>
      <c r="V82" s="51">
        <v>0</v>
      </c>
      <c r="W82" s="30">
        <f>1.05*2.5</f>
        <v>2.625</v>
      </c>
      <c r="X82" s="83">
        <f t="shared" si="14"/>
        <v>1.751</v>
      </c>
      <c r="Y82" s="82">
        <f t="shared" si="17"/>
        <v>1.751</v>
      </c>
      <c r="Z82" s="84" t="str">
        <f>IF(Y82&lt;0,"closed","opened")</f>
        <v>opened</v>
      </c>
    </row>
    <row r="83" spans="1:26" s="1" customFormat="1" ht="25.5">
      <c r="A83" s="10">
        <v>69</v>
      </c>
      <c r="B83" s="31" t="s">
        <v>56</v>
      </c>
      <c r="C83" s="28" t="s">
        <v>6</v>
      </c>
      <c r="D83" s="119">
        <v>0.72</v>
      </c>
      <c r="E83" s="61">
        <v>0.29</v>
      </c>
      <c r="F83" s="14">
        <v>120</v>
      </c>
      <c r="G83" s="16">
        <f t="shared" si="12"/>
        <v>0.43</v>
      </c>
      <c r="H83" s="93">
        <v>0</v>
      </c>
      <c r="I83" s="30">
        <f>1.05*1.6</f>
        <v>1.6800000000000002</v>
      </c>
      <c r="J83" s="30">
        <f t="shared" si="15"/>
        <v>1.2500000000000002</v>
      </c>
      <c r="K83" s="33">
        <f t="shared" si="16"/>
        <v>1.2500000000000002</v>
      </c>
      <c r="L83" s="84" t="str">
        <f>IF(K83&lt;0,"closed","opened")</f>
        <v>opened</v>
      </c>
      <c r="M83" s="104"/>
      <c r="N83" s="73">
        <v>69</v>
      </c>
      <c r="O83" s="31" t="s">
        <v>56</v>
      </c>
      <c r="P83" s="65" t="s">
        <v>6</v>
      </c>
      <c r="Q83" s="131">
        <v>0.131</v>
      </c>
      <c r="R83" s="34">
        <f>Q83+Костромаэнерго!D83</f>
        <v>0.851</v>
      </c>
      <c r="S83" s="34">
        <v>0.29</v>
      </c>
      <c r="T83" s="14">
        <v>120</v>
      </c>
      <c r="U83" s="50">
        <f t="shared" si="13"/>
        <v>0.5609999999999999</v>
      </c>
      <c r="V83" s="51">
        <v>0</v>
      </c>
      <c r="W83" s="30">
        <f>1.05*1.6</f>
        <v>1.6800000000000002</v>
      </c>
      <c r="X83" s="83">
        <f t="shared" si="14"/>
        <v>1.1190000000000002</v>
      </c>
      <c r="Y83" s="82">
        <f t="shared" si="17"/>
        <v>1.1190000000000002</v>
      </c>
      <c r="Z83" s="84" t="str">
        <f>IF(Y83&lt;0,"closed","opened")</f>
        <v>opened</v>
      </c>
    </row>
    <row r="84" spans="1:26" s="1" customFormat="1" ht="25.5">
      <c r="A84" s="10">
        <v>70</v>
      </c>
      <c r="B84" s="31" t="s">
        <v>57</v>
      </c>
      <c r="C84" s="28" t="s">
        <v>4</v>
      </c>
      <c r="D84" s="119">
        <v>1.3</v>
      </c>
      <c r="E84" s="61">
        <v>0.43</v>
      </c>
      <c r="F84" s="14">
        <v>120</v>
      </c>
      <c r="G84" s="15">
        <f t="shared" si="12"/>
        <v>0.8700000000000001</v>
      </c>
      <c r="H84" s="93">
        <v>0</v>
      </c>
      <c r="I84" s="30">
        <f>1.05*2.5</f>
        <v>2.625</v>
      </c>
      <c r="J84" s="30">
        <f t="shared" si="15"/>
        <v>1.755</v>
      </c>
      <c r="K84" s="33">
        <f t="shared" si="16"/>
        <v>1.755</v>
      </c>
      <c r="L84" s="18" t="str">
        <f>IF(K84&lt;0,"closed","opened")</f>
        <v>opened</v>
      </c>
      <c r="M84" s="104"/>
      <c r="N84" s="73">
        <v>70</v>
      </c>
      <c r="O84" s="31" t="s">
        <v>57</v>
      </c>
      <c r="P84" s="65" t="s">
        <v>4</v>
      </c>
      <c r="Q84" s="131">
        <v>0.594</v>
      </c>
      <c r="R84" s="34">
        <f>Q84+Костромаэнерго!D84</f>
        <v>1.8940000000000001</v>
      </c>
      <c r="S84" s="34">
        <v>0.43</v>
      </c>
      <c r="T84" s="14">
        <v>120</v>
      </c>
      <c r="U84" s="50">
        <f t="shared" si="13"/>
        <v>1.4640000000000002</v>
      </c>
      <c r="V84" s="51">
        <v>0</v>
      </c>
      <c r="W84" s="30">
        <f>1.05*2.5</f>
        <v>2.625</v>
      </c>
      <c r="X84" s="83">
        <f t="shared" si="14"/>
        <v>1.1609999999999998</v>
      </c>
      <c r="Y84" s="82">
        <f t="shared" si="17"/>
        <v>1.1609999999999998</v>
      </c>
      <c r="Z84" s="84" t="str">
        <f>IF(Y84&lt;0,"closed","opened")</f>
        <v>opened</v>
      </c>
    </row>
    <row r="85" spans="1:26" s="1" customFormat="1" ht="25.5">
      <c r="A85" s="10">
        <v>71</v>
      </c>
      <c r="B85" s="31" t="s">
        <v>58</v>
      </c>
      <c r="C85" s="28" t="s">
        <v>7</v>
      </c>
      <c r="D85" s="131">
        <v>0.35</v>
      </c>
      <c r="E85" s="34">
        <v>0.2</v>
      </c>
      <c r="F85" s="14">
        <v>120</v>
      </c>
      <c r="G85" s="19">
        <f t="shared" si="12"/>
        <v>0.14999999999999997</v>
      </c>
      <c r="H85" s="93">
        <v>0</v>
      </c>
      <c r="I85" s="30">
        <f>1.05*1.8</f>
        <v>1.8900000000000001</v>
      </c>
      <c r="J85" s="30">
        <f t="shared" si="15"/>
        <v>1.7400000000000002</v>
      </c>
      <c r="K85" s="33">
        <f t="shared" si="16"/>
        <v>1.7400000000000002</v>
      </c>
      <c r="L85" s="74" t="str">
        <f>IF(K85&lt;0,"closed","opened")</f>
        <v>opened</v>
      </c>
      <c r="M85" s="104"/>
      <c r="N85" s="73">
        <v>71</v>
      </c>
      <c r="O85" s="31" t="s">
        <v>58</v>
      </c>
      <c r="P85" s="65" t="s">
        <v>7</v>
      </c>
      <c r="Q85" s="131">
        <v>0.056</v>
      </c>
      <c r="R85" s="34">
        <f>Q85+Костромаэнерго!D85</f>
        <v>0.40599999999999997</v>
      </c>
      <c r="S85" s="34">
        <v>0.2</v>
      </c>
      <c r="T85" s="14">
        <v>120</v>
      </c>
      <c r="U85" s="50">
        <f t="shared" si="13"/>
        <v>0.20599999999999996</v>
      </c>
      <c r="V85" s="51">
        <v>0</v>
      </c>
      <c r="W85" s="30">
        <f>1.05*1.8</f>
        <v>1.8900000000000001</v>
      </c>
      <c r="X85" s="83">
        <f t="shared" si="14"/>
        <v>1.6840000000000002</v>
      </c>
      <c r="Y85" s="82">
        <f t="shared" si="17"/>
        <v>1.6840000000000002</v>
      </c>
      <c r="Z85" s="84" t="str">
        <f>IF(Y85&lt;0,"closed","opened")</f>
        <v>opened</v>
      </c>
    </row>
    <row r="86" spans="1:26" s="1" customFormat="1" ht="25.5">
      <c r="A86" s="10">
        <v>72</v>
      </c>
      <c r="B86" s="31" t="s">
        <v>59</v>
      </c>
      <c r="C86" s="28" t="s">
        <v>5</v>
      </c>
      <c r="D86" s="131">
        <v>2.5</v>
      </c>
      <c r="E86" s="34">
        <v>0.92</v>
      </c>
      <c r="F86" s="14">
        <v>120</v>
      </c>
      <c r="G86" s="19">
        <f t="shared" si="12"/>
        <v>1.58</v>
      </c>
      <c r="H86" s="93">
        <v>0</v>
      </c>
      <c r="I86" s="30">
        <f>1.05*4</f>
        <v>4.2</v>
      </c>
      <c r="J86" s="30">
        <f t="shared" si="15"/>
        <v>2.62</v>
      </c>
      <c r="K86" s="33">
        <f t="shared" si="16"/>
        <v>2.62</v>
      </c>
      <c r="L86" s="84" t="str">
        <f>IF(K86&lt;0,"closed","opened")</f>
        <v>opened</v>
      </c>
      <c r="M86" s="104"/>
      <c r="N86" s="73">
        <v>72</v>
      </c>
      <c r="O86" s="31" t="s">
        <v>59</v>
      </c>
      <c r="P86" s="65" t="s">
        <v>5</v>
      </c>
      <c r="Q86" s="131">
        <v>0.606</v>
      </c>
      <c r="R86" s="34">
        <f>Q86+Костромаэнерго!D86</f>
        <v>3.106</v>
      </c>
      <c r="S86" s="34">
        <v>0.92</v>
      </c>
      <c r="T86" s="14">
        <v>120</v>
      </c>
      <c r="U86" s="50">
        <f t="shared" si="13"/>
        <v>2.186</v>
      </c>
      <c r="V86" s="51">
        <v>0</v>
      </c>
      <c r="W86" s="30">
        <f>1.05*4</f>
        <v>4.2</v>
      </c>
      <c r="X86" s="83">
        <f t="shared" si="14"/>
        <v>2.0140000000000002</v>
      </c>
      <c r="Y86" s="82">
        <f t="shared" si="17"/>
        <v>2.0140000000000002</v>
      </c>
      <c r="Z86" s="84" t="str">
        <f>IF(Y86&lt;0,"closed","opened")</f>
        <v>opened</v>
      </c>
    </row>
    <row r="87" spans="1:26" s="1" customFormat="1" ht="25.5">
      <c r="A87" s="10">
        <v>73</v>
      </c>
      <c r="B87" s="31" t="s">
        <v>60</v>
      </c>
      <c r="C87" s="28" t="s">
        <v>8</v>
      </c>
      <c r="D87" s="131">
        <v>1.43</v>
      </c>
      <c r="E87" s="34">
        <v>0</v>
      </c>
      <c r="F87" s="14">
        <v>0</v>
      </c>
      <c r="G87" s="19">
        <f t="shared" si="12"/>
        <v>1.43</v>
      </c>
      <c r="H87" s="93">
        <v>0</v>
      </c>
      <c r="I87" s="30">
        <f>1.05*1.6</f>
        <v>1.6800000000000002</v>
      </c>
      <c r="J87" s="30">
        <f t="shared" si="15"/>
        <v>0.2500000000000002</v>
      </c>
      <c r="K87" s="33">
        <f t="shared" si="16"/>
        <v>0.2500000000000002</v>
      </c>
      <c r="L87" s="84" t="str">
        <f>IF(K87&lt;0,"closed","opened")</f>
        <v>opened</v>
      </c>
      <c r="M87" s="104"/>
      <c r="N87" s="73">
        <v>73</v>
      </c>
      <c r="O87" s="31" t="s">
        <v>60</v>
      </c>
      <c r="P87" s="65" t="s">
        <v>8</v>
      </c>
      <c r="Q87" s="131">
        <v>0.247</v>
      </c>
      <c r="R87" s="34">
        <f>Q87+Костромаэнерго!D87</f>
        <v>1.677</v>
      </c>
      <c r="S87" s="34">
        <v>0</v>
      </c>
      <c r="T87" s="14">
        <v>0</v>
      </c>
      <c r="U87" s="50">
        <f t="shared" si="13"/>
        <v>1.677</v>
      </c>
      <c r="V87" s="51">
        <v>0</v>
      </c>
      <c r="W87" s="30">
        <f>1.05*1.6</f>
        <v>1.6800000000000002</v>
      </c>
      <c r="X87" s="83">
        <f t="shared" si="14"/>
        <v>0.0030000000000001137</v>
      </c>
      <c r="Y87" s="82">
        <f t="shared" si="17"/>
        <v>0.0030000000000001137</v>
      </c>
      <c r="Z87" s="84" t="str">
        <f>IF(Y87&lt;0,"closed","opened")</f>
        <v>opened</v>
      </c>
    </row>
    <row r="88" spans="1:26" s="1" customFormat="1" ht="25.5">
      <c r="A88" s="10">
        <v>74</v>
      </c>
      <c r="B88" s="31" t="s">
        <v>61</v>
      </c>
      <c r="C88" s="28" t="s">
        <v>9</v>
      </c>
      <c r="D88" s="131">
        <v>2.71</v>
      </c>
      <c r="E88" s="34">
        <v>0</v>
      </c>
      <c r="F88" s="14">
        <v>0</v>
      </c>
      <c r="G88" s="19">
        <f t="shared" si="12"/>
        <v>2.71</v>
      </c>
      <c r="H88" s="93">
        <v>0</v>
      </c>
      <c r="I88" s="30">
        <f>1.05*3.2</f>
        <v>3.3600000000000003</v>
      </c>
      <c r="J88" s="30">
        <f t="shared" si="15"/>
        <v>0.6500000000000004</v>
      </c>
      <c r="K88" s="33">
        <f t="shared" si="16"/>
        <v>0.6500000000000004</v>
      </c>
      <c r="L88" s="18" t="str">
        <f>IF(K88&lt;0,"closed","opened")</f>
        <v>opened</v>
      </c>
      <c r="M88" s="104"/>
      <c r="N88" s="73">
        <v>74</v>
      </c>
      <c r="O88" s="31" t="s">
        <v>61</v>
      </c>
      <c r="P88" s="65" t="s">
        <v>9</v>
      </c>
      <c r="Q88" s="131">
        <v>0.578</v>
      </c>
      <c r="R88" s="34">
        <f>Q88+Костромаэнерго!D88</f>
        <v>3.288</v>
      </c>
      <c r="S88" s="34">
        <v>0</v>
      </c>
      <c r="T88" s="14">
        <v>0</v>
      </c>
      <c r="U88" s="50">
        <f t="shared" si="13"/>
        <v>3.288</v>
      </c>
      <c r="V88" s="51">
        <v>0</v>
      </c>
      <c r="W88" s="30">
        <f>1.05*3.2</f>
        <v>3.3600000000000003</v>
      </c>
      <c r="X88" s="83">
        <f t="shared" si="14"/>
        <v>0.07200000000000051</v>
      </c>
      <c r="Y88" s="82">
        <f t="shared" si="17"/>
        <v>0.07200000000000051</v>
      </c>
      <c r="Z88" s="18" t="str">
        <f>IF(Y88&lt;0,"closed","opened")</f>
        <v>opened</v>
      </c>
    </row>
    <row r="89" spans="1:26" s="1" customFormat="1" ht="25.5">
      <c r="A89" s="10">
        <v>75</v>
      </c>
      <c r="B89" s="31" t="s">
        <v>62</v>
      </c>
      <c r="C89" s="28" t="s">
        <v>5</v>
      </c>
      <c r="D89" s="131">
        <v>3.68</v>
      </c>
      <c r="E89" s="34">
        <v>0.76</v>
      </c>
      <c r="F89" s="14">
        <v>120</v>
      </c>
      <c r="G89" s="19">
        <f t="shared" si="12"/>
        <v>2.92</v>
      </c>
      <c r="H89" s="93">
        <v>0</v>
      </c>
      <c r="I89" s="30">
        <f>1.05*4</f>
        <v>4.2</v>
      </c>
      <c r="J89" s="30">
        <f t="shared" si="15"/>
        <v>1.2800000000000002</v>
      </c>
      <c r="K89" s="33">
        <f t="shared" si="16"/>
        <v>1.2800000000000002</v>
      </c>
      <c r="L89" s="18" t="str">
        <f>IF(K89&lt;0,"closed","opened")</f>
        <v>opened</v>
      </c>
      <c r="M89" s="104"/>
      <c r="N89" s="73">
        <v>75</v>
      </c>
      <c r="O89" s="31" t="s">
        <v>62</v>
      </c>
      <c r="P89" s="65" t="s">
        <v>5</v>
      </c>
      <c r="Q89" s="131">
        <v>0.306</v>
      </c>
      <c r="R89" s="34">
        <f>Q89+Костромаэнерго!D89</f>
        <v>3.986</v>
      </c>
      <c r="S89" s="34">
        <v>0.76</v>
      </c>
      <c r="T89" s="14">
        <v>120</v>
      </c>
      <c r="U89" s="50">
        <f t="shared" si="13"/>
        <v>3.226</v>
      </c>
      <c r="V89" s="51">
        <v>0</v>
      </c>
      <c r="W89" s="30">
        <f>1.05*4</f>
        <v>4.2</v>
      </c>
      <c r="X89" s="83">
        <f t="shared" si="14"/>
        <v>0.9740000000000002</v>
      </c>
      <c r="Y89" s="82">
        <f t="shared" si="17"/>
        <v>0.9740000000000002</v>
      </c>
      <c r="Z89" s="18" t="str">
        <f>IF(Y89&lt;0,"closed","opened")</f>
        <v>opened</v>
      </c>
    </row>
    <row r="90" spans="1:26" s="1" customFormat="1" ht="25.5">
      <c r="A90" s="10">
        <v>76</v>
      </c>
      <c r="B90" s="31" t="s">
        <v>63</v>
      </c>
      <c r="C90" s="28" t="s">
        <v>10</v>
      </c>
      <c r="D90" s="119">
        <v>0.76</v>
      </c>
      <c r="E90" s="61">
        <v>0</v>
      </c>
      <c r="F90" s="14">
        <v>0</v>
      </c>
      <c r="G90" s="19">
        <f t="shared" si="12"/>
        <v>0.76</v>
      </c>
      <c r="H90" s="93">
        <v>0</v>
      </c>
      <c r="I90" s="30">
        <f>1.05*1</f>
        <v>1.05</v>
      </c>
      <c r="J90" s="30">
        <f t="shared" si="15"/>
        <v>0.29000000000000004</v>
      </c>
      <c r="K90" s="33">
        <f t="shared" si="16"/>
        <v>0.29000000000000004</v>
      </c>
      <c r="L90" s="74" t="str">
        <f>IF(K90&lt;0,"closed","opened")</f>
        <v>opened</v>
      </c>
      <c r="M90" s="104"/>
      <c r="N90" s="73">
        <v>76</v>
      </c>
      <c r="O90" s="31" t="s">
        <v>63</v>
      </c>
      <c r="P90" s="65" t="s">
        <v>10</v>
      </c>
      <c r="Q90" s="131">
        <v>0</v>
      </c>
      <c r="R90" s="34">
        <f>Q90+Костромаэнерго!D90</f>
        <v>0.76</v>
      </c>
      <c r="S90" s="34">
        <v>0</v>
      </c>
      <c r="T90" s="14">
        <v>0</v>
      </c>
      <c r="U90" s="50">
        <f t="shared" si="13"/>
        <v>0.76</v>
      </c>
      <c r="V90" s="51">
        <v>0</v>
      </c>
      <c r="W90" s="30">
        <f>1.05*1</f>
        <v>1.05</v>
      </c>
      <c r="X90" s="83">
        <f t="shared" si="14"/>
        <v>0.29000000000000004</v>
      </c>
      <c r="Y90" s="82">
        <f t="shared" si="17"/>
        <v>0.29000000000000004</v>
      </c>
      <c r="Z90" s="74" t="str">
        <f>IF(Y90&lt;0,"closed","opened")</f>
        <v>opened</v>
      </c>
    </row>
    <row r="91" spans="1:26" s="1" customFormat="1" ht="25.5">
      <c r="A91" s="230">
        <v>77</v>
      </c>
      <c r="B91" s="31" t="s">
        <v>64</v>
      </c>
      <c r="C91" s="28" t="s">
        <v>11</v>
      </c>
      <c r="D91" s="108">
        <v>12.41</v>
      </c>
      <c r="E91" s="95">
        <f>E93+E92</f>
        <v>0</v>
      </c>
      <c r="F91" s="14">
        <v>0</v>
      </c>
      <c r="G91" s="19">
        <f t="shared" si="12"/>
        <v>12.41</v>
      </c>
      <c r="H91" s="93">
        <v>0</v>
      </c>
      <c r="I91" s="30">
        <f>1.05*16</f>
        <v>16.8</v>
      </c>
      <c r="J91" s="30">
        <f t="shared" si="15"/>
        <v>4.390000000000001</v>
      </c>
      <c r="K91" s="206">
        <f>MIN(J91:J93)</f>
        <v>4.390000000000001</v>
      </c>
      <c r="L91" s="202" t="str">
        <f>IF(K91&lt;0,"closed","opened")</f>
        <v>opened</v>
      </c>
      <c r="M91" s="104"/>
      <c r="N91" s="198">
        <v>77</v>
      </c>
      <c r="O91" s="31" t="s">
        <v>64</v>
      </c>
      <c r="P91" s="65" t="s">
        <v>11</v>
      </c>
      <c r="Q91" s="146">
        <v>2.22</v>
      </c>
      <c r="R91" s="34">
        <f>Q91+Костромаэнерго!D91</f>
        <v>14.63</v>
      </c>
      <c r="S91" s="101">
        <f>S93+S92</f>
        <v>0</v>
      </c>
      <c r="T91" s="14">
        <v>0</v>
      </c>
      <c r="U91" s="50">
        <f t="shared" si="13"/>
        <v>14.63</v>
      </c>
      <c r="V91" s="51">
        <v>0</v>
      </c>
      <c r="W91" s="30">
        <f>1.05*16</f>
        <v>16.8</v>
      </c>
      <c r="X91" s="83">
        <f t="shared" si="14"/>
        <v>2.17</v>
      </c>
      <c r="Y91" s="201">
        <f>MIN(X91:X93)</f>
        <v>2.17</v>
      </c>
      <c r="Z91" s="202" t="str">
        <f>IF(Y91&lt;0,"closed","opened")</f>
        <v>opened</v>
      </c>
    </row>
    <row r="92" spans="1:26" s="1" customFormat="1" ht="15">
      <c r="A92" s="231"/>
      <c r="B92" s="261" t="s">
        <v>48</v>
      </c>
      <c r="C92" s="28" t="s">
        <v>11</v>
      </c>
      <c r="D92" s="99">
        <v>0.77</v>
      </c>
      <c r="E92" s="61">
        <v>0</v>
      </c>
      <c r="F92" s="14">
        <v>0</v>
      </c>
      <c r="G92" s="16">
        <f t="shared" si="12"/>
        <v>0.77</v>
      </c>
      <c r="H92" s="93">
        <v>0</v>
      </c>
      <c r="I92" s="30">
        <f>1.05*16</f>
        <v>16.8</v>
      </c>
      <c r="J92" s="30">
        <f>I92-D92</f>
        <v>16.03</v>
      </c>
      <c r="K92" s="207"/>
      <c r="L92" s="203"/>
      <c r="M92" s="104"/>
      <c r="N92" s="199"/>
      <c r="O92" s="261" t="s">
        <v>48</v>
      </c>
      <c r="P92" s="65" t="s">
        <v>11</v>
      </c>
      <c r="Q92" s="158">
        <v>0</v>
      </c>
      <c r="R92" s="34">
        <f>Q92+Костромаэнерго!D92</f>
        <v>0.77</v>
      </c>
      <c r="S92" s="34">
        <v>0</v>
      </c>
      <c r="T92" s="14">
        <v>0</v>
      </c>
      <c r="U92" s="50">
        <f t="shared" si="13"/>
        <v>0.77</v>
      </c>
      <c r="V92" s="51">
        <v>0</v>
      </c>
      <c r="W92" s="30">
        <f>1.05*16</f>
        <v>16.8</v>
      </c>
      <c r="X92" s="83">
        <f t="shared" si="14"/>
        <v>16.03</v>
      </c>
      <c r="Y92" s="201"/>
      <c r="Z92" s="203"/>
    </row>
    <row r="93" spans="1:26" s="1" customFormat="1" ht="15">
      <c r="A93" s="232"/>
      <c r="B93" s="261" t="s">
        <v>49</v>
      </c>
      <c r="C93" s="28" t="s">
        <v>11</v>
      </c>
      <c r="D93" s="99">
        <v>11.64</v>
      </c>
      <c r="E93" s="61">
        <v>0</v>
      </c>
      <c r="F93" s="14">
        <v>0</v>
      </c>
      <c r="G93" s="15">
        <f t="shared" si="12"/>
        <v>11.64</v>
      </c>
      <c r="H93" s="93">
        <v>0</v>
      </c>
      <c r="I93" s="30">
        <f>1.05*16</f>
        <v>16.8</v>
      </c>
      <c r="J93" s="30">
        <f t="shared" si="15"/>
        <v>5.16</v>
      </c>
      <c r="K93" s="208"/>
      <c r="L93" s="203"/>
      <c r="M93" s="104"/>
      <c r="N93" s="200"/>
      <c r="O93" s="261" t="s">
        <v>49</v>
      </c>
      <c r="P93" s="65" t="s">
        <v>11</v>
      </c>
      <c r="Q93" s="146">
        <v>2.22</v>
      </c>
      <c r="R93" s="34">
        <f>Q93+Костромаэнерго!D93</f>
        <v>13.860000000000001</v>
      </c>
      <c r="S93" s="34">
        <v>0</v>
      </c>
      <c r="T93" s="14">
        <v>0</v>
      </c>
      <c r="U93" s="50">
        <f t="shared" si="13"/>
        <v>13.860000000000001</v>
      </c>
      <c r="V93" s="51">
        <v>0</v>
      </c>
      <c r="W93" s="30">
        <f>1.05*16</f>
        <v>16.8</v>
      </c>
      <c r="X93" s="83">
        <f t="shared" si="14"/>
        <v>2.9399999999999995</v>
      </c>
      <c r="Y93" s="201"/>
      <c r="Z93" s="203"/>
    </row>
    <row r="94" spans="1:26" s="1" customFormat="1" ht="25.5">
      <c r="A94" s="10">
        <v>78</v>
      </c>
      <c r="B94" s="31" t="s">
        <v>65</v>
      </c>
      <c r="C94" s="28" t="s">
        <v>5</v>
      </c>
      <c r="D94" s="119">
        <v>0.92</v>
      </c>
      <c r="E94" s="61">
        <v>1.03</v>
      </c>
      <c r="F94" s="14">
        <v>120</v>
      </c>
      <c r="G94" s="19">
        <f t="shared" si="12"/>
        <v>-0.10999999999999999</v>
      </c>
      <c r="H94" s="93">
        <v>0</v>
      </c>
      <c r="I94" s="30">
        <f>1.05*4</f>
        <v>4.2</v>
      </c>
      <c r="J94" s="30">
        <f t="shared" si="15"/>
        <v>4.3100000000000005</v>
      </c>
      <c r="K94" s="33">
        <f>J94</f>
        <v>4.3100000000000005</v>
      </c>
      <c r="L94" s="84" t="str">
        <f>IF(K94&lt;0,"closed","opened")</f>
        <v>opened</v>
      </c>
      <c r="M94" s="104"/>
      <c r="N94" s="73">
        <v>78</v>
      </c>
      <c r="O94" s="31" t="s">
        <v>65</v>
      </c>
      <c r="P94" s="65" t="s">
        <v>5</v>
      </c>
      <c r="Q94" s="131">
        <v>2.649</v>
      </c>
      <c r="R94" s="34">
        <f>Q94+Костромаэнерго!D94</f>
        <v>3.569</v>
      </c>
      <c r="S94" s="34">
        <v>1.03</v>
      </c>
      <c r="T94" s="14">
        <v>120</v>
      </c>
      <c r="U94" s="50">
        <f t="shared" si="13"/>
        <v>2.5389999999999997</v>
      </c>
      <c r="V94" s="51">
        <v>0</v>
      </c>
      <c r="W94" s="30">
        <f>1.05*4</f>
        <v>4.2</v>
      </c>
      <c r="X94" s="83">
        <f t="shared" si="14"/>
        <v>1.6610000000000005</v>
      </c>
      <c r="Y94" s="82">
        <f>X94</f>
        <v>1.6610000000000005</v>
      </c>
      <c r="Z94" s="84" t="str">
        <f>IF(Y94&lt;0,"closed","opened")</f>
        <v>opened</v>
      </c>
    </row>
    <row r="95" spans="1:26" s="1" customFormat="1" ht="25.5">
      <c r="A95" s="10">
        <v>79</v>
      </c>
      <c r="B95" s="31" t="s">
        <v>66</v>
      </c>
      <c r="C95" s="28" t="s">
        <v>4</v>
      </c>
      <c r="D95" s="119">
        <v>1.27</v>
      </c>
      <c r="E95" s="61">
        <v>0.43</v>
      </c>
      <c r="F95" s="14">
        <v>120</v>
      </c>
      <c r="G95" s="16">
        <f t="shared" si="12"/>
        <v>0.8400000000000001</v>
      </c>
      <c r="H95" s="93">
        <v>0</v>
      </c>
      <c r="I95" s="30">
        <f>1.05*2.5</f>
        <v>2.625</v>
      </c>
      <c r="J95" s="30">
        <f t="shared" si="15"/>
        <v>1.785</v>
      </c>
      <c r="K95" s="33">
        <f>J95</f>
        <v>1.785</v>
      </c>
      <c r="L95" s="18" t="str">
        <f>IF(K95&lt;0,"closed","opened")</f>
        <v>opened</v>
      </c>
      <c r="M95" s="104"/>
      <c r="N95" s="73">
        <v>79</v>
      </c>
      <c r="O95" s="31" t="s">
        <v>66</v>
      </c>
      <c r="P95" s="65" t="s">
        <v>4</v>
      </c>
      <c r="Q95" s="131">
        <v>0.107</v>
      </c>
      <c r="R95" s="34">
        <f>Q95+Костромаэнерго!D95</f>
        <v>1.377</v>
      </c>
      <c r="S95" s="34">
        <v>0.43</v>
      </c>
      <c r="T95" s="14">
        <v>120</v>
      </c>
      <c r="U95" s="50">
        <f t="shared" si="13"/>
        <v>0.9470000000000001</v>
      </c>
      <c r="V95" s="51">
        <v>0</v>
      </c>
      <c r="W95" s="30">
        <f>1.05*2.5</f>
        <v>2.625</v>
      </c>
      <c r="X95" s="83">
        <f t="shared" si="14"/>
        <v>1.678</v>
      </c>
      <c r="Y95" s="82">
        <f>X95</f>
        <v>1.678</v>
      </c>
      <c r="Z95" s="18" t="str">
        <f>IF(Y95&lt;0,"closed","opened")</f>
        <v>opened</v>
      </c>
    </row>
    <row r="96" spans="1:26" s="1" customFormat="1" ht="25.5">
      <c r="A96" s="10">
        <v>80</v>
      </c>
      <c r="B96" s="31" t="s">
        <v>67</v>
      </c>
      <c r="C96" s="28" t="s">
        <v>7</v>
      </c>
      <c r="D96" s="119">
        <v>0.37</v>
      </c>
      <c r="E96" s="61">
        <v>0.43</v>
      </c>
      <c r="F96" s="14">
        <v>120</v>
      </c>
      <c r="G96" s="15">
        <f t="shared" si="12"/>
        <v>-0.06</v>
      </c>
      <c r="H96" s="93">
        <v>0</v>
      </c>
      <c r="I96" s="30">
        <f>1.05*1.8</f>
        <v>1.8900000000000001</v>
      </c>
      <c r="J96" s="30">
        <f t="shared" si="15"/>
        <v>1.9500000000000002</v>
      </c>
      <c r="K96" s="33">
        <f>J96</f>
        <v>1.9500000000000002</v>
      </c>
      <c r="L96" s="18" t="str">
        <f>IF(K96&lt;0,"closed","opened")</f>
        <v>opened</v>
      </c>
      <c r="M96" s="104"/>
      <c r="N96" s="73">
        <v>80</v>
      </c>
      <c r="O96" s="31" t="s">
        <v>67</v>
      </c>
      <c r="P96" s="65" t="s">
        <v>7</v>
      </c>
      <c r="Q96" s="131">
        <v>0.023</v>
      </c>
      <c r="R96" s="34">
        <f>Q96+Костромаэнерго!D96</f>
        <v>0.393</v>
      </c>
      <c r="S96" s="34">
        <v>0.43</v>
      </c>
      <c r="T96" s="14">
        <v>120</v>
      </c>
      <c r="U96" s="50">
        <f t="shared" si="13"/>
        <v>-0.03699999999999998</v>
      </c>
      <c r="V96" s="51">
        <v>0</v>
      </c>
      <c r="W96" s="30">
        <f>1.05*1.8</f>
        <v>1.8900000000000001</v>
      </c>
      <c r="X96" s="83">
        <f t="shared" si="14"/>
        <v>1.927</v>
      </c>
      <c r="Y96" s="82">
        <f>X96</f>
        <v>1.927</v>
      </c>
      <c r="Z96" s="18" t="str">
        <f>IF(Y96&lt;0,"closed","opened")</f>
        <v>opened</v>
      </c>
    </row>
    <row r="97" spans="1:26" s="1" customFormat="1" ht="27" customHeight="1">
      <c r="A97" s="230">
        <v>81</v>
      </c>
      <c r="B97" s="262" t="s">
        <v>68</v>
      </c>
      <c r="C97" s="35" t="s">
        <v>12</v>
      </c>
      <c r="D97" s="100">
        <v>18.51</v>
      </c>
      <c r="E97" s="95">
        <f>E99+E98</f>
        <v>2.75</v>
      </c>
      <c r="F97" s="14">
        <v>120</v>
      </c>
      <c r="G97" s="19">
        <f t="shared" si="12"/>
        <v>15.760000000000002</v>
      </c>
      <c r="H97" s="93">
        <v>0</v>
      </c>
      <c r="I97" s="37">
        <f>1.05*25</f>
        <v>26.25</v>
      </c>
      <c r="J97" s="30">
        <f t="shared" si="15"/>
        <v>10.489999999999998</v>
      </c>
      <c r="K97" s="233">
        <f>MIN(J97:J100)</f>
        <v>10.489999999999998</v>
      </c>
      <c r="L97" s="202" t="str">
        <f>IF(K97&lt;0,"closed","opened")</f>
        <v>opened</v>
      </c>
      <c r="M97" s="104"/>
      <c r="N97" s="198">
        <v>81</v>
      </c>
      <c r="O97" s="262" t="s">
        <v>68</v>
      </c>
      <c r="P97" s="66" t="s">
        <v>12</v>
      </c>
      <c r="Q97" s="146">
        <v>0.551</v>
      </c>
      <c r="R97" s="34">
        <f>Q97+Костромаэнерго!D97</f>
        <v>19.061</v>
      </c>
      <c r="S97" s="101">
        <f>S99+S98</f>
        <v>2.75</v>
      </c>
      <c r="T97" s="14">
        <v>120</v>
      </c>
      <c r="U97" s="50">
        <f t="shared" si="13"/>
        <v>16.311</v>
      </c>
      <c r="V97" s="51">
        <v>0</v>
      </c>
      <c r="W97" s="37">
        <f>1.05*25</f>
        <v>26.25</v>
      </c>
      <c r="X97" s="83">
        <f t="shared" si="14"/>
        <v>9.939</v>
      </c>
      <c r="Y97" s="209">
        <f>MIN(X97:X100)</f>
        <v>9.939</v>
      </c>
      <c r="Z97" s="202" t="str">
        <f>IF(Y97&lt;0,"closed","opened")</f>
        <v>opened</v>
      </c>
    </row>
    <row r="98" spans="1:26" s="1" customFormat="1" ht="15">
      <c r="A98" s="231"/>
      <c r="B98" s="261" t="s">
        <v>48</v>
      </c>
      <c r="C98" s="35" t="s">
        <v>0</v>
      </c>
      <c r="D98" s="100">
        <v>6.52</v>
      </c>
      <c r="E98" s="36">
        <v>0</v>
      </c>
      <c r="F98" s="14">
        <v>120</v>
      </c>
      <c r="G98" s="19">
        <f t="shared" si="12"/>
        <v>6.52</v>
      </c>
      <c r="H98" s="93">
        <v>0</v>
      </c>
      <c r="I98" s="37">
        <f>1.05*25</f>
        <v>26.25</v>
      </c>
      <c r="J98" s="30">
        <f>I98-D98</f>
        <v>19.73</v>
      </c>
      <c r="K98" s="234"/>
      <c r="L98" s="203"/>
      <c r="M98" s="104"/>
      <c r="N98" s="199"/>
      <c r="O98" s="261" t="s">
        <v>48</v>
      </c>
      <c r="P98" s="66" t="s">
        <v>0</v>
      </c>
      <c r="Q98" s="159">
        <v>0</v>
      </c>
      <c r="R98" s="34">
        <f>Q98+Костромаэнерго!D98</f>
        <v>6.52</v>
      </c>
      <c r="S98" s="36">
        <v>0</v>
      </c>
      <c r="T98" s="14">
        <v>120</v>
      </c>
      <c r="U98" s="50">
        <f t="shared" si="13"/>
        <v>6.52</v>
      </c>
      <c r="V98" s="51">
        <v>0</v>
      </c>
      <c r="W98" s="37">
        <f>1.05*25</f>
        <v>26.25</v>
      </c>
      <c r="X98" s="83">
        <f t="shared" si="14"/>
        <v>19.73</v>
      </c>
      <c r="Y98" s="210"/>
      <c r="Z98" s="203"/>
    </row>
    <row r="99" spans="1:26" s="1" customFormat="1" ht="15">
      <c r="A99" s="231"/>
      <c r="B99" s="261" t="s">
        <v>49</v>
      </c>
      <c r="C99" s="35" t="s">
        <v>0</v>
      </c>
      <c r="D99" s="100">
        <v>11.99</v>
      </c>
      <c r="E99" s="36">
        <v>2.75</v>
      </c>
      <c r="F99" s="14">
        <v>120</v>
      </c>
      <c r="G99" s="19">
        <f t="shared" si="12"/>
        <v>9.24</v>
      </c>
      <c r="H99" s="93">
        <v>0</v>
      </c>
      <c r="I99" s="37">
        <f>1.05*25</f>
        <v>26.25</v>
      </c>
      <c r="J99" s="30">
        <f t="shared" si="15"/>
        <v>17.009999999999998</v>
      </c>
      <c r="K99" s="234"/>
      <c r="L99" s="203"/>
      <c r="M99" s="104"/>
      <c r="N99" s="199"/>
      <c r="O99" s="261" t="s">
        <v>49</v>
      </c>
      <c r="P99" s="66" t="s">
        <v>0</v>
      </c>
      <c r="Q99" s="146">
        <v>0.551</v>
      </c>
      <c r="R99" s="34">
        <f>Q99+Костромаэнерго!D99</f>
        <v>12.541</v>
      </c>
      <c r="S99" s="36">
        <v>2.75</v>
      </c>
      <c r="T99" s="14">
        <v>120</v>
      </c>
      <c r="U99" s="50">
        <f t="shared" si="13"/>
        <v>9.791</v>
      </c>
      <c r="V99" s="51">
        <v>0</v>
      </c>
      <c r="W99" s="37">
        <f>1.05*25</f>
        <v>26.25</v>
      </c>
      <c r="X99" s="83">
        <f t="shared" si="14"/>
        <v>16.459</v>
      </c>
      <c r="Y99" s="210"/>
      <c r="Z99" s="203"/>
    </row>
    <row r="100" spans="1:26" s="1" customFormat="1" ht="25.5">
      <c r="A100" s="232"/>
      <c r="B100" s="38" t="s">
        <v>69</v>
      </c>
      <c r="C100" s="35" t="s">
        <v>11</v>
      </c>
      <c r="D100" s="109">
        <v>2.41</v>
      </c>
      <c r="E100" s="62">
        <v>2.2</v>
      </c>
      <c r="F100" s="14">
        <v>120</v>
      </c>
      <c r="G100" s="16">
        <f t="shared" si="12"/>
        <v>0.20999999999999996</v>
      </c>
      <c r="H100" s="93">
        <v>0</v>
      </c>
      <c r="I100" s="37">
        <f>1.05*16</f>
        <v>16.8</v>
      </c>
      <c r="J100" s="30">
        <f t="shared" si="15"/>
        <v>16.59</v>
      </c>
      <c r="K100" s="235"/>
      <c r="L100" s="204"/>
      <c r="M100" s="104"/>
      <c r="N100" s="200"/>
      <c r="O100" s="38" t="s">
        <v>69</v>
      </c>
      <c r="P100" s="66" t="s">
        <v>11</v>
      </c>
      <c r="Q100" s="131">
        <v>0</v>
      </c>
      <c r="R100" s="34">
        <f>Q100+Костромаэнерго!D100</f>
        <v>2.41</v>
      </c>
      <c r="S100" s="36">
        <v>2.2</v>
      </c>
      <c r="T100" s="14">
        <v>120</v>
      </c>
      <c r="U100" s="50">
        <f t="shared" si="13"/>
        <v>0.20999999999999996</v>
      </c>
      <c r="V100" s="51">
        <v>0</v>
      </c>
      <c r="W100" s="37">
        <f>1.05*16</f>
        <v>16.8</v>
      </c>
      <c r="X100" s="83">
        <f t="shared" si="14"/>
        <v>16.59</v>
      </c>
      <c r="Y100" s="223"/>
      <c r="Z100" s="204"/>
    </row>
    <row r="101" spans="1:26" s="1" customFormat="1" ht="25.5">
      <c r="A101" s="22">
        <v>82</v>
      </c>
      <c r="B101" s="31" t="s">
        <v>70</v>
      </c>
      <c r="C101" s="28" t="s">
        <v>13</v>
      </c>
      <c r="D101" s="109">
        <v>0.93</v>
      </c>
      <c r="E101" s="61">
        <v>1.55</v>
      </c>
      <c r="F101" s="14">
        <v>120</v>
      </c>
      <c r="G101" s="16">
        <f t="shared" si="12"/>
        <v>-0.62</v>
      </c>
      <c r="H101" s="93">
        <v>0</v>
      </c>
      <c r="I101" s="30">
        <f>1.05*5.6</f>
        <v>5.88</v>
      </c>
      <c r="J101" s="30">
        <f t="shared" si="15"/>
        <v>6.5</v>
      </c>
      <c r="K101" s="39">
        <f>J101</f>
        <v>6.5</v>
      </c>
      <c r="L101" s="18" t="str">
        <f>IF(K101&lt;0,"closed","opened")</f>
        <v>opened</v>
      </c>
      <c r="M101" s="104"/>
      <c r="N101" s="72">
        <v>82</v>
      </c>
      <c r="O101" s="31" t="s">
        <v>70</v>
      </c>
      <c r="P101" s="65" t="s">
        <v>2</v>
      </c>
      <c r="Q101" s="131">
        <v>5.736</v>
      </c>
      <c r="R101" s="34">
        <f>Q101+Костромаэнерго!D101</f>
        <v>6.6659999999999995</v>
      </c>
      <c r="S101" s="34">
        <v>1.55</v>
      </c>
      <c r="T101" s="14">
        <v>120</v>
      </c>
      <c r="U101" s="50">
        <f t="shared" si="13"/>
        <v>5.116</v>
      </c>
      <c r="V101" s="51">
        <v>0</v>
      </c>
      <c r="W101" s="30">
        <f>1.05*10</f>
        <v>10.5</v>
      </c>
      <c r="X101" s="83">
        <f t="shared" si="14"/>
        <v>5.384</v>
      </c>
      <c r="Y101" s="82">
        <f>X101</f>
        <v>5.384</v>
      </c>
      <c r="Z101" s="18" t="str">
        <f>IF(Y101&lt;0,"closed","opened")</f>
        <v>opened</v>
      </c>
    </row>
    <row r="102" spans="1:26" s="1" customFormat="1" ht="25.5">
      <c r="A102" s="10">
        <v>83</v>
      </c>
      <c r="B102" s="31" t="s">
        <v>71</v>
      </c>
      <c r="C102" s="28" t="s">
        <v>6</v>
      </c>
      <c r="D102" s="119">
        <v>0.57</v>
      </c>
      <c r="E102" s="61">
        <v>0.41</v>
      </c>
      <c r="F102" s="14">
        <v>120</v>
      </c>
      <c r="G102" s="15">
        <f t="shared" si="12"/>
        <v>0.15999999999999998</v>
      </c>
      <c r="H102" s="93">
        <v>0</v>
      </c>
      <c r="I102" s="30">
        <f>1.05*1.6</f>
        <v>1.6800000000000002</v>
      </c>
      <c r="J102" s="30">
        <f t="shared" si="15"/>
        <v>1.5200000000000002</v>
      </c>
      <c r="K102" s="39">
        <f>J102</f>
        <v>1.5200000000000002</v>
      </c>
      <c r="L102" s="74" t="str">
        <f>IF(K102&lt;0,"closed","opened")</f>
        <v>opened</v>
      </c>
      <c r="M102" s="104"/>
      <c r="N102" s="73">
        <v>83</v>
      </c>
      <c r="O102" s="31" t="s">
        <v>71</v>
      </c>
      <c r="P102" s="65" t="s">
        <v>6</v>
      </c>
      <c r="Q102" s="131">
        <v>0.087</v>
      </c>
      <c r="R102" s="34">
        <f>Q102+Костромаэнерго!D102</f>
        <v>0.6569999999999999</v>
      </c>
      <c r="S102" s="34">
        <v>0.41</v>
      </c>
      <c r="T102" s="14">
        <v>120</v>
      </c>
      <c r="U102" s="50">
        <f t="shared" si="13"/>
        <v>0.24699999999999994</v>
      </c>
      <c r="V102" s="51">
        <v>0</v>
      </c>
      <c r="W102" s="30">
        <f>1.05*1.6</f>
        <v>1.6800000000000002</v>
      </c>
      <c r="X102" s="83">
        <f t="shared" si="14"/>
        <v>1.4330000000000003</v>
      </c>
      <c r="Y102" s="82">
        <f>X102</f>
        <v>1.4330000000000003</v>
      </c>
      <c r="Z102" s="74" t="str">
        <f>IF(Y102&lt;0,"closed","opened")</f>
        <v>opened</v>
      </c>
    </row>
    <row r="103" spans="1:26" s="1" customFormat="1" ht="25.5">
      <c r="A103" s="10">
        <v>84</v>
      </c>
      <c r="B103" s="31" t="s">
        <v>72</v>
      </c>
      <c r="C103" s="28" t="s">
        <v>6</v>
      </c>
      <c r="D103" s="119">
        <v>0.36</v>
      </c>
      <c r="E103" s="61">
        <v>0.23</v>
      </c>
      <c r="F103" s="14">
        <v>120</v>
      </c>
      <c r="G103" s="16">
        <f t="shared" si="12"/>
        <v>0.12999999999999998</v>
      </c>
      <c r="H103" s="93">
        <v>0</v>
      </c>
      <c r="I103" s="30">
        <f>1.05*6.3</f>
        <v>6.615</v>
      </c>
      <c r="J103" s="30">
        <f t="shared" si="15"/>
        <v>6.485</v>
      </c>
      <c r="K103" s="39">
        <f>J103</f>
        <v>6.485</v>
      </c>
      <c r="L103" s="18" t="str">
        <f>IF(K103&lt;0,"closed","opened")</f>
        <v>opened</v>
      </c>
      <c r="M103" s="104"/>
      <c r="N103" s="73">
        <v>84</v>
      </c>
      <c r="O103" s="31" t="s">
        <v>72</v>
      </c>
      <c r="P103" s="65" t="s">
        <v>6</v>
      </c>
      <c r="Q103" s="131">
        <v>0.002</v>
      </c>
      <c r="R103" s="34">
        <f>Q103+Костромаэнерго!D103</f>
        <v>0.362</v>
      </c>
      <c r="S103" s="34">
        <v>0.23</v>
      </c>
      <c r="T103" s="14">
        <v>120</v>
      </c>
      <c r="U103" s="50">
        <f t="shared" si="13"/>
        <v>0.13199999999999998</v>
      </c>
      <c r="V103" s="51">
        <v>0</v>
      </c>
      <c r="W103" s="30">
        <f>1.05*6.3</f>
        <v>6.615</v>
      </c>
      <c r="X103" s="83">
        <f t="shared" si="14"/>
        <v>6.4830000000000005</v>
      </c>
      <c r="Y103" s="82">
        <f>X103</f>
        <v>6.4830000000000005</v>
      </c>
      <c r="Z103" s="18" t="str">
        <f>IF(Y103&lt;0,"closed","opened")</f>
        <v>opened</v>
      </c>
    </row>
    <row r="104" spans="1:26" s="1" customFormat="1" ht="25.5">
      <c r="A104" s="230">
        <v>85</v>
      </c>
      <c r="B104" s="31" t="s">
        <v>73</v>
      </c>
      <c r="C104" s="28" t="s">
        <v>14</v>
      </c>
      <c r="D104" s="119">
        <v>3.89</v>
      </c>
      <c r="E104" s="95">
        <f>E106+E105</f>
        <v>0.76</v>
      </c>
      <c r="F104" s="14">
        <v>120</v>
      </c>
      <c r="G104" s="15">
        <f t="shared" si="12"/>
        <v>3.13</v>
      </c>
      <c r="H104" s="93">
        <v>0</v>
      </c>
      <c r="I104" s="30">
        <f>1.05*6.3</f>
        <v>6.615</v>
      </c>
      <c r="J104" s="30">
        <f t="shared" si="15"/>
        <v>3.4850000000000003</v>
      </c>
      <c r="K104" s="206">
        <f>MIN(J104:J106)</f>
        <v>3.305</v>
      </c>
      <c r="L104" s="202" t="str">
        <f>IF(K104&lt;0,"closed","opened")</f>
        <v>opened</v>
      </c>
      <c r="M104" s="104"/>
      <c r="N104" s="198">
        <v>85</v>
      </c>
      <c r="O104" s="31" t="s">
        <v>73</v>
      </c>
      <c r="P104" s="65" t="s">
        <v>14</v>
      </c>
      <c r="Q104" s="146">
        <v>0.112</v>
      </c>
      <c r="R104" s="34">
        <f>Q104+Костромаэнерго!D104</f>
        <v>4.002</v>
      </c>
      <c r="S104" s="101">
        <f>S106+S105</f>
        <v>0.76</v>
      </c>
      <c r="T104" s="14">
        <v>120</v>
      </c>
      <c r="U104" s="50">
        <f t="shared" si="13"/>
        <v>3.242</v>
      </c>
      <c r="V104" s="51">
        <v>0</v>
      </c>
      <c r="W104" s="30">
        <f>1.05*6.3</f>
        <v>6.615</v>
      </c>
      <c r="X104" s="83">
        <f t="shared" si="14"/>
        <v>3.373</v>
      </c>
      <c r="Y104" s="201">
        <f>MIN(X104:X106)</f>
        <v>3.305</v>
      </c>
      <c r="Z104" s="202" t="str">
        <f>IF(Y104&lt;0,"closed","opened")</f>
        <v>opened</v>
      </c>
    </row>
    <row r="105" spans="1:26" s="1" customFormat="1" ht="15">
      <c r="A105" s="231"/>
      <c r="B105" s="261" t="s">
        <v>48</v>
      </c>
      <c r="C105" s="28" t="s">
        <v>14</v>
      </c>
      <c r="D105" s="99">
        <v>3.31</v>
      </c>
      <c r="E105" s="34">
        <v>0</v>
      </c>
      <c r="F105" s="14">
        <v>120</v>
      </c>
      <c r="G105" s="19">
        <f t="shared" si="12"/>
        <v>3.31</v>
      </c>
      <c r="H105" s="93">
        <v>0</v>
      </c>
      <c r="I105" s="30">
        <f>1.05*6.3</f>
        <v>6.615</v>
      </c>
      <c r="J105" s="30">
        <f>I105-D105</f>
        <v>3.305</v>
      </c>
      <c r="K105" s="207"/>
      <c r="L105" s="203"/>
      <c r="M105" s="104"/>
      <c r="N105" s="199"/>
      <c r="O105" s="261" t="s">
        <v>48</v>
      </c>
      <c r="P105" s="65" t="s">
        <v>14</v>
      </c>
      <c r="Q105" s="158">
        <v>0</v>
      </c>
      <c r="R105" s="34">
        <f>Q105+Костромаэнерго!D105</f>
        <v>3.31</v>
      </c>
      <c r="S105" s="34">
        <v>0</v>
      </c>
      <c r="T105" s="14">
        <v>120</v>
      </c>
      <c r="U105" s="50">
        <f t="shared" si="13"/>
        <v>3.31</v>
      </c>
      <c r="V105" s="51">
        <v>0</v>
      </c>
      <c r="W105" s="30">
        <f>1.05*6.3</f>
        <v>6.615</v>
      </c>
      <c r="X105" s="83">
        <f t="shared" si="14"/>
        <v>3.305</v>
      </c>
      <c r="Y105" s="201"/>
      <c r="Z105" s="203"/>
    </row>
    <row r="106" spans="1:26" s="1" customFormat="1" ht="15">
      <c r="A106" s="232"/>
      <c r="B106" s="261" t="s">
        <v>49</v>
      </c>
      <c r="C106" s="28" t="s">
        <v>14</v>
      </c>
      <c r="D106" s="99">
        <v>0.58</v>
      </c>
      <c r="E106" s="34">
        <v>0.76</v>
      </c>
      <c r="F106" s="14">
        <v>120</v>
      </c>
      <c r="G106" s="19">
        <f t="shared" si="12"/>
        <v>-0.18000000000000005</v>
      </c>
      <c r="H106" s="93">
        <v>0</v>
      </c>
      <c r="I106" s="30">
        <f>1.05*6.3</f>
        <v>6.615</v>
      </c>
      <c r="J106" s="30">
        <f t="shared" si="15"/>
        <v>6.795</v>
      </c>
      <c r="K106" s="208"/>
      <c r="L106" s="204"/>
      <c r="M106" s="104"/>
      <c r="N106" s="200"/>
      <c r="O106" s="261" t="s">
        <v>49</v>
      </c>
      <c r="P106" s="65" t="s">
        <v>14</v>
      </c>
      <c r="Q106" s="146">
        <v>0.112</v>
      </c>
      <c r="R106" s="34">
        <f>Q106+Костромаэнерго!D106</f>
        <v>0.692</v>
      </c>
      <c r="S106" s="34">
        <v>0.76</v>
      </c>
      <c r="T106" s="14">
        <v>120</v>
      </c>
      <c r="U106" s="50">
        <f t="shared" si="13"/>
        <v>-0.06800000000000006</v>
      </c>
      <c r="V106" s="51">
        <v>0</v>
      </c>
      <c r="W106" s="30">
        <f>1.05*6.3</f>
        <v>6.615</v>
      </c>
      <c r="X106" s="83">
        <f t="shared" si="14"/>
        <v>6.683</v>
      </c>
      <c r="Y106" s="201"/>
      <c r="Z106" s="204"/>
    </row>
    <row r="107" spans="1:26" s="1" customFormat="1" ht="25.5">
      <c r="A107" s="230">
        <v>86</v>
      </c>
      <c r="B107" s="31" t="s">
        <v>74</v>
      </c>
      <c r="C107" s="28" t="s">
        <v>2</v>
      </c>
      <c r="D107" s="99">
        <v>3.91</v>
      </c>
      <c r="E107" s="95">
        <f>E109+E108</f>
        <v>1.28</v>
      </c>
      <c r="F107" s="14">
        <v>120</v>
      </c>
      <c r="G107" s="19">
        <f t="shared" si="12"/>
        <v>2.63</v>
      </c>
      <c r="H107" s="93">
        <v>0</v>
      </c>
      <c r="I107" s="30">
        <f>1.05*10</f>
        <v>10.5</v>
      </c>
      <c r="J107" s="30">
        <f t="shared" si="15"/>
        <v>7.87</v>
      </c>
      <c r="K107" s="206">
        <f>MIN(J107:J109)</f>
        <v>7.87</v>
      </c>
      <c r="L107" s="203" t="str">
        <f>IF(K107&lt;0,"closed","opened")</f>
        <v>opened</v>
      </c>
      <c r="M107" s="104"/>
      <c r="N107" s="198">
        <v>86</v>
      </c>
      <c r="O107" s="31" t="s">
        <v>74</v>
      </c>
      <c r="P107" s="65" t="s">
        <v>2</v>
      </c>
      <c r="Q107" s="146">
        <v>1.149</v>
      </c>
      <c r="R107" s="34">
        <f>Q107+Костромаэнерго!D107</f>
        <v>5.059</v>
      </c>
      <c r="S107" s="101">
        <f>S109+S108</f>
        <v>1.28</v>
      </c>
      <c r="T107" s="14">
        <v>120</v>
      </c>
      <c r="U107" s="50">
        <f t="shared" si="13"/>
        <v>3.779</v>
      </c>
      <c r="V107" s="51">
        <v>0</v>
      </c>
      <c r="W107" s="30">
        <f>1.05*10</f>
        <v>10.5</v>
      </c>
      <c r="X107" s="83">
        <f t="shared" si="14"/>
        <v>6.721</v>
      </c>
      <c r="Y107" s="201">
        <f>MIN(X107:X109)</f>
        <v>6.721</v>
      </c>
      <c r="Z107" s="203" t="str">
        <f>IF(Y107&lt;0,"closed","opened")</f>
        <v>opened</v>
      </c>
    </row>
    <row r="108" spans="1:26" s="1" customFormat="1" ht="15">
      <c r="A108" s="231"/>
      <c r="B108" s="261" t="s">
        <v>48</v>
      </c>
      <c r="C108" s="28" t="s">
        <v>2</v>
      </c>
      <c r="D108" s="99">
        <v>0.72</v>
      </c>
      <c r="E108" s="34">
        <v>0</v>
      </c>
      <c r="F108" s="14">
        <v>120</v>
      </c>
      <c r="G108" s="16">
        <f t="shared" si="12"/>
        <v>0.72</v>
      </c>
      <c r="H108" s="93">
        <v>0</v>
      </c>
      <c r="I108" s="30">
        <f>1.05*10</f>
        <v>10.5</v>
      </c>
      <c r="J108" s="30">
        <f>I108-D108</f>
        <v>9.78</v>
      </c>
      <c r="K108" s="207"/>
      <c r="L108" s="203"/>
      <c r="M108" s="104"/>
      <c r="N108" s="199"/>
      <c r="O108" s="261" t="s">
        <v>48</v>
      </c>
      <c r="P108" s="65" t="s">
        <v>2</v>
      </c>
      <c r="Q108" s="158">
        <v>0</v>
      </c>
      <c r="R108" s="34">
        <f>Q108+Костромаэнерго!D108</f>
        <v>0.72</v>
      </c>
      <c r="S108" s="34">
        <v>0</v>
      </c>
      <c r="T108" s="14">
        <v>120</v>
      </c>
      <c r="U108" s="50">
        <f t="shared" si="13"/>
        <v>0.72</v>
      </c>
      <c r="V108" s="51">
        <v>0</v>
      </c>
      <c r="W108" s="30">
        <f>1.05*10</f>
        <v>10.5</v>
      </c>
      <c r="X108" s="83">
        <f t="shared" si="14"/>
        <v>9.78</v>
      </c>
      <c r="Y108" s="201"/>
      <c r="Z108" s="203"/>
    </row>
    <row r="109" spans="1:26" s="1" customFormat="1" ht="15">
      <c r="A109" s="232"/>
      <c r="B109" s="261" t="s">
        <v>49</v>
      </c>
      <c r="C109" s="28" t="s">
        <v>2</v>
      </c>
      <c r="D109" s="99">
        <v>3.19</v>
      </c>
      <c r="E109" s="34">
        <v>1.28</v>
      </c>
      <c r="F109" s="14">
        <v>120</v>
      </c>
      <c r="G109" s="16">
        <f t="shared" si="12"/>
        <v>1.91</v>
      </c>
      <c r="H109" s="93">
        <v>0</v>
      </c>
      <c r="I109" s="30">
        <f>1.05*10</f>
        <v>10.5</v>
      </c>
      <c r="J109" s="30">
        <f t="shared" si="15"/>
        <v>8.59</v>
      </c>
      <c r="K109" s="208"/>
      <c r="L109" s="203"/>
      <c r="M109" s="104"/>
      <c r="N109" s="200"/>
      <c r="O109" s="261" t="s">
        <v>49</v>
      </c>
      <c r="P109" s="65" t="s">
        <v>2</v>
      </c>
      <c r="Q109" s="146">
        <v>1.149</v>
      </c>
      <c r="R109" s="34">
        <f>Q109+Костромаэнерго!D109</f>
        <v>4.339</v>
      </c>
      <c r="S109" s="34">
        <v>1.28</v>
      </c>
      <c r="T109" s="14">
        <v>120</v>
      </c>
      <c r="U109" s="50">
        <f t="shared" si="13"/>
        <v>3.059</v>
      </c>
      <c r="V109" s="51">
        <v>0</v>
      </c>
      <c r="W109" s="30">
        <f>1.05*10</f>
        <v>10.5</v>
      </c>
      <c r="X109" s="83">
        <f t="shared" si="14"/>
        <v>7.441</v>
      </c>
      <c r="Y109" s="201"/>
      <c r="Z109" s="203"/>
    </row>
    <row r="110" spans="1:26" s="1" customFormat="1" ht="25.5">
      <c r="A110" s="10">
        <v>87</v>
      </c>
      <c r="B110" s="31" t="s">
        <v>75</v>
      </c>
      <c r="C110" s="28" t="s">
        <v>6</v>
      </c>
      <c r="D110" s="119">
        <v>0.37</v>
      </c>
      <c r="E110" s="34">
        <v>0.25</v>
      </c>
      <c r="F110" s="14">
        <v>120</v>
      </c>
      <c r="G110" s="16">
        <f t="shared" si="12"/>
        <v>0.12</v>
      </c>
      <c r="H110" s="93">
        <v>0</v>
      </c>
      <c r="I110" s="30">
        <f>1.05*1.6</f>
        <v>1.6800000000000002</v>
      </c>
      <c r="J110" s="30">
        <f t="shared" si="15"/>
        <v>1.56</v>
      </c>
      <c r="K110" s="33">
        <f>J110</f>
        <v>1.56</v>
      </c>
      <c r="L110" s="18" t="str">
        <f>IF(K110&lt;0,"closed","opened")</f>
        <v>opened</v>
      </c>
      <c r="M110" s="104"/>
      <c r="N110" s="73">
        <v>87</v>
      </c>
      <c r="O110" s="31" t="s">
        <v>75</v>
      </c>
      <c r="P110" s="65" t="s">
        <v>6</v>
      </c>
      <c r="Q110" s="131">
        <v>0.087</v>
      </c>
      <c r="R110" s="34">
        <f>Q110+Костромаэнерго!D110</f>
        <v>0.45699999999999996</v>
      </c>
      <c r="S110" s="34">
        <v>0.25</v>
      </c>
      <c r="T110" s="14">
        <v>120</v>
      </c>
      <c r="U110" s="50">
        <f t="shared" si="13"/>
        <v>0.20699999999999996</v>
      </c>
      <c r="V110" s="51">
        <v>0</v>
      </c>
      <c r="W110" s="30">
        <f>1.05*1.6</f>
        <v>1.6800000000000002</v>
      </c>
      <c r="X110" s="83">
        <f t="shared" si="14"/>
        <v>1.4730000000000003</v>
      </c>
      <c r="Y110" s="82">
        <f>X110</f>
        <v>1.4730000000000003</v>
      </c>
      <c r="Z110" s="18" t="str">
        <f>IF(Y110&lt;0,"closed","opened")</f>
        <v>opened</v>
      </c>
    </row>
    <row r="111" spans="1:26" s="1" customFormat="1" ht="25.5">
      <c r="A111" s="10">
        <v>88</v>
      </c>
      <c r="B111" s="31" t="s">
        <v>76</v>
      </c>
      <c r="C111" s="28" t="s">
        <v>6</v>
      </c>
      <c r="D111" s="119">
        <v>0.8</v>
      </c>
      <c r="E111" s="34">
        <v>0.56</v>
      </c>
      <c r="F111" s="14">
        <v>120</v>
      </c>
      <c r="G111" s="15">
        <f t="shared" si="12"/>
        <v>0.24</v>
      </c>
      <c r="H111" s="93">
        <v>0</v>
      </c>
      <c r="I111" s="30">
        <f>1.05*1.6</f>
        <v>1.6800000000000002</v>
      </c>
      <c r="J111" s="30">
        <f t="shared" si="15"/>
        <v>1.4400000000000002</v>
      </c>
      <c r="K111" s="33">
        <f>J111</f>
        <v>1.4400000000000002</v>
      </c>
      <c r="L111" s="74" t="str">
        <f>IF(K111&lt;0,"closed","opened")</f>
        <v>opened</v>
      </c>
      <c r="M111" s="104"/>
      <c r="N111" s="73">
        <v>88</v>
      </c>
      <c r="O111" s="31" t="s">
        <v>76</v>
      </c>
      <c r="P111" s="65" t="s">
        <v>6</v>
      </c>
      <c r="Q111" s="131">
        <v>0.017</v>
      </c>
      <c r="R111" s="34">
        <f>Q111+Костромаэнерго!D111</f>
        <v>0.8170000000000001</v>
      </c>
      <c r="S111" s="34">
        <v>0.56</v>
      </c>
      <c r="T111" s="14">
        <v>120</v>
      </c>
      <c r="U111" s="50">
        <f t="shared" si="13"/>
        <v>0.257</v>
      </c>
      <c r="V111" s="51">
        <v>0</v>
      </c>
      <c r="W111" s="30">
        <f>1.05*1.6</f>
        <v>1.6800000000000002</v>
      </c>
      <c r="X111" s="83">
        <f t="shared" si="14"/>
        <v>1.423</v>
      </c>
      <c r="Y111" s="82">
        <f>X111</f>
        <v>1.423</v>
      </c>
      <c r="Z111" s="74" t="str">
        <f>IF(Y111&lt;0,"closed","opened")</f>
        <v>opened</v>
      </c>
    </row>
    <row r="112" spans="1:26" s="1" customFormat="1" ht="25.5">
      <c r="A112" s="10">
        <v>89</v>
      </c>
      <c r="B112" s="31" t="s">
        <v>77</v>
      </c>
      <c r="C112" s="28" t="s">
        <v>4</v>
      </c>
      <c r="D112" s="119">
        <v>1.32</v>
      </c>
      <c r="E112" s="34">
        <v>0.52</v>
      </c>
      <c r="F112" s="14">
        <v>120</v>
      </c>
      <c r="G112" s="19">
        <f t="shared" si="12"/>
        <v>0.8</v>
      </c>
      <c r="H112" s="93">
        <v>0</v>
      </c>
      <c r="I112" s="30">
        <f>1.05*2.5</f>
        <v>2.625</v>
      </c>
      <c r="J112" s="30">
        <f t="shared" si="15"/>
        <v>1.825</v>
      </c>
      <c r="K112" s="33">
        <f>J112</f>
        <v>1.825</v>
      </c>
      <c r="L112" s="18" t="str">
        <f>IF(K112&lt;0,"closed","opened")</f>
        <v>opened</v>
      </c>
      <c r="M112" s="104"/>
      <c r="N112" s="73">
        <v>89</v>
      </c>
      <c r="O112" s="31" t="s">
        <v>77</v>
      </c>
      <c r="P112" s="65" t="s">
        <v>4</v>
      </c>
      <c r="Q112" s="131">
        <v>0.045</v>
      </c>
      <c r="R112" s="34">
        <f>Q112+Костромаэнерго!D112</f>
        <v>1.365</v>
      </c>
      <c r="S112" s="34">
        <v>0.52</v>
      </c>
      <c r="T112" s="14">
        <v>120</v>
      </c>
      <c r="U112" s="50">
        <f t="shared" si="13"/>
        <v>0.845</v>
      </c>
      <c r="V112" s="51">
        <v>0</v>
      </c>
      <c r="W112" s="30">
        <f>1.05*2.5</f>
        <v>2.625</v>
      </c>
      <c r="X112" s="83">
        <f t="shared" si="14"/>
        <v>1.78</v>
      </c>
      <c r="Y112" s="82">
        <f>X112</f>
        <v>1.78</v>
      </c>
      <c r="Z112" s="18" t="str">
        <f>IF(Y112&lt;0,"closed","opened")</f>
        <v>opened</v>
      </c>
    </row>
    <row r="113" spans="1:26" s="1" customFormat="1" ht="25.5">
      <c r="A113" s="10">
        <v>90</v>
      </c>
      <c r="B113" s="31" t="s">
        <v>78</v>
      </c>
      <c r="C113" s="28" t="s">
        <v>2</v>
      </c>
      <c r="D113" s="106">
        <v>8.139999</v>
      </c>
      <c r="E113" s="34">
        <v>1.8</v>
      </c>
      <c r="F113" s="14">
        <v>120</v>
      </c>
      <c r="G113" s="16">
        <f t="shared" si="12"/>
        <v>6.339999</v>
      </c>
      <c r="H113" s="93">
        <v>0</v>
      </c>
      <c r="I113" s="30">
        <f>1.05*10</f>
        <v>10.5</v>
      </c>
      <c r="J113" s="30">
        <f t="shared" si="15"/>
        <v>4.160001</v>
      </c>
      <c r="K113" s="33">
        <f>J113</f>
        <v>4.160001</v>
      </c>
      <c r="L113" s="74" t="str">
        <f>IF(K113&lt;0,"closed","opened")</f>
        <v>opened</v>
      </c>
      <c r="M113" s="104"/>
      <c r="N113" s="73">
        <v>90</v>
      </c>
      <c r="O113" s="31" t="s">
        <v>78</v>
      </c>
      <c r="P113" s="65" t="s">
        <v>2</v>
      </c>
      <c r="Q113" s="131">
        <v>1.351</v>
      </c>
      <c r="R113" s="34">
        <f>Q113+Костромаэнерго!D113</f>
        <v>9.490998999999999</v>
      </c>
      <c r="S113" s="34">
        <v>1.8</v>
      </c>
      <c r="T113" s="14">
        <v>120</v>
      </c>
      <c r="U113" s="50">
        <f t="shared" si="13"/>
        <v>7.690998999999999</v>
      </c>
      <c r="V113" s="51">
        <v>0</v>
      </c>
      <c r="W113" s="30">
        <f>1.05*10</f>
        <v>10.5</v>
      </c>
      <c r="X113" s="83">
        <f t="shared" si="14"/>
        <v>2.809001000000001</v>
      </c>
      <c r="Y113" s="82">
        <f>X113</f>
        <v>2.809001000000001</v>
      </c>
      <c r="Z113" s="74" t="str">
        <f>IF(Y113&lt;0,"closed","opened")</f>
        <v>opened</v>
      </c>
    </row>
    <row r="114" spans="1:26" s="1" customFormat="1" ht="25.5">
      <c r="A114" s="10">
        <v>91</v>
      </c>
      <c r="B114" s="31" t="s">
        <v>79</v>
      </c>
      <c r="C114" s="28" t="s">
        <v>7</v>
      </c>
      <c r="D114" s="119">
        <v>0.49</v>
      </c>
      <c r="E114" s="34">
        <v>0.4</v>
      </c>
      <c r="F114" s="14">
        <v>120</v>
      </c>
      <c r="G114" s="15">
        <f t="shared" si="12"/>
        <v>0.08999999999999997</v>
      </c>
      <c r="H114" s="93">
        <v>0</v>
      </c>
      <c r="I114" s="30">
        <f>1.05*1.8</f>
        <v>1.8900000000000001</v>
      </c>
      <c r="J114" s="30">
        <f t="shared" si="15"/>
        <v>1.8000000000000003</v>
      </c>
      <c r="K114" s="33">
        <f>J114</f>
        <v>1.8000000000000003</v>
      </c>
      <c r="L114" s="84" t="str">
        <f>IF(K114&lt;0,"closed","opened")</f>
        <v>opened</v>
      </c>
      <c r="M114" s="104"/>
      <c r="N114" s="73">
        <v>91</v>
      </c>
      <c r="O114" s="31" t="s">
        <v>79</v>
      </c>
      <c r="P114" s="65" t="s">
        <v>7</v>
      </c>
      <c r="Q114" s="131">
        <v>0.093</v>
      </c>
      <c r="R114" s="34">
        <f>Q114+Костромаэнерго!D114</f>
        <v>0.583</v>
      </c>
      <c r="S114" s="34">
        <v>0.4</v>
      </c>
      <c r="T114" s="14">
        <v>120</v>
      </c>
      <c r="U114" s="50">
        <f t="shared" si="13"/>
        <v>0.18299999999999994</v>
      </c>
      <c r="V114" s="51">
        <v>0</v>
      </c>
      <c r="W114" s="30">
        <f>1.05*1.8</f>
        <v>1.8900000000000001</v>
      </c>
      <c r="X114" s="83">
        <f t="shared" si="14"/>
        <v>1.7070000000000003</v>
      </c>
      <c r="Y114" s="82">
        <f>X114</f>
        <v>1.7070000000000003</v>
      </c>
      <c r="Z114" s="84" t="str">
        <f>IF(Y114&lt;0,"closed","opened")</f>
        <v>opened</v>
      </c>
    </row>
    <row r="115" spans="1:26" s="1" customFormat="1" ht="25.5">
      <c r="A115" s="230">
        <v>92</v>
      </c>
      <c r="B115" s="31" t="s">
        <v>80</v>
      </c>
      <c r="C115" s="28" t="s">
        <v>2</v>
      </c>
      <c r="D115" s="119">
        <v>3.93</v>
      </c>
      <c r="E115" s="95">
        <f>E117+E116</f>
        <v>1.89</v>
      </c>
      <c r="F115" s="14">
        <v>120</v>
      </c>
      <c r="G115" s="19">
        <f t="shared" si="12"/>
        <v>2.04</v>
      </c>
      <c r="H115" s="93">
        <v>0</v>
      </c>
      <c r="I115" s="30">
        <f>1.05*10</f>
        <v>10.5</v>
      </c>
      <c r="J115" s="30">
        <f t="shared" si="15"/>
        <v>8.46</v>
      </c>
      <c r="K115" s="206">
        <f>MIN(J115:J117)</f>
        <v>8.46</v>
      </c>
      <c r="L115" s="202" t="str">
        <f>IF(K115&lt;0,"closed","opened")</f>
        <v>opened</v>
      </c>
      <c r="M115" s="104"/>
      <c r="N115" s="198">
        <v>92</v>
      </c>
      <c r="O115" s="31" t="s">
        <v>80</v>
      </c>
      <c r="P115" s="65" t="s">
        <v>2</v>
      </c>
      <c r="Q115" s="146">
        <v>0.603</v>
      </c>
      <c r="R115" s="34">
        <f>Q115+Костромаэнерго!D115</f>
        <v>4.533</v>
      </c>
      <c r="S115" s="101">
        <f>S117+S116</f>
        <v>1.89</v>
      </c>
      <c r="T115" s="14">
        <v>120</v>
      </c>
      <c r="U115" s="50">
        <f t="shared" si="13"/>
        <v>2.6430000000000007</v>
      </c>
      <c r="V115" s="51">
        <v>0</v>
      </c>
      <c r="W115" s="30">
        <f>1.05*10</f>
        <v>10.5</v>
      </c>
      <c r="X115" s="83">
        <f t="shared" si="14"/>
        <v>7.856999999999999</v>
      </c>
      <c r="Y115" s="201">
        <f>MIN(X115:X117)</f>
        <v>7.856999999999999</v>
      </c>
      <c r="Z115" s="202" t="str">
        <f>IF(Y115&lt;0,"closed","opened")</f>
        <v>opened</v>
      </c>
    </row>
    <row r="116" spans="1:26" s="1" customFormat="1" ht="15">
      <c r="A116" s="231"/>
      <c r="B116" s="261" t="s">
        <v>48</v>
      </c>
      <c r="C116" s="28" t="s">
        <v>2</v>
      </c>
      <c r="D116" s="99">
        <v>0.38</v>
      </c>
      <c r="E116" s="34">
        <v>0</v>
      </c>
      <c r="F116" s="14">
        <v>120</v>
      </c>
      <c r="G116" s="16">
        <f t="shared" si="12"/>
        <v>0.38</v>
      </c>
      <c r="H116" s="93">
        <v>0</v>
      </c>
      <c r="I116" s="30">
        <f>1.05*10</f>
        <v>10.5</v>
      </c>
      <c r="J116" s="30">
        <f>I116-D116</f>
        <v>10.12</v>
      </c>
      <c r="K116" s="207"/>
      <c r="L116" s="203"/>
      <c r="M116" s="104"/>
      <c r="N116" s="199"/>
      <c r="O116" s="261" t="s">
        <v>48</v>
      </c>
      <c r="P116" s="65" t="s">
        <v>2</v>
      </c>
      <c r="Q116" s="158">
        <v>0</v>
      </c>
      <c r="R116" s="34">
        <f>Q116+Костромаэнерго!D116</f>
        <v>0.38</v>
      </c>
      <c r="S116" s="34">
        <v>0</v>
      </c>
      <c r="T116" s="14">
        <v>120</v>
      </c>
      <c r="U116" s="50">
        <f t="shared" si="13"/>
        <v>0.38</v>
      </c>
      <c r="V116" s="51">
        <v>0</v>
      </c>
      <c r="W116" s="30">
        <f>1.05*10</f>
        <v>10.5</v>
      </c>
      <c r="X116" s="83">
        <f t="shared" si="14"/>
        <v>10.12</v>
      </c>
      <c r="Y116" s="201"/>
      <c r="Z116" s="203"/>
    </row>
    <row r="117" spans="1:26" s="1" customFormat="1" ht="15">
      <c r="A117" s="232"/>
      <c r="B117" s="261" t="s">
        <v>49</v>
      </c>
      <c r="C117" s="28" t="s">
        <v>2</v>
      </c>
      <c r="D117" s="99">
        <v>3.55</v>
      </c>
      <c r="E117" s="34">
        <v>1.89</v>
      </c>
      <c r="F117" s="14">
        <v>120</v>
      </c>
      <c r="G117" s="16">
        <f t="shared" si="12"/>
        <v>1.66</v>
      </c>
      <c r="H117" s="93">
        <v>0</v>
      </c>
      <c r="I117" s="30">
        <f>1.05*10</f>
        <v>10.5</v>
      </c>
      <c r="J117" s="30">
        <f t="shared" si="15"/>
        <v>8.84</v>
      </c>
      <c r="K117" s="208"/>
      <c r="L117" s="203"/>
      <c r="M117" s="104"/>
      <c r="N117" s="200"/>
      <c r="O117" s="261" t="s">
        <v>49</v>
      </c>
      <c r="P117" s="65" t="s">
        <v>2</v>
      </c>
      <c r="Q117" s="146">
        <v>0.603</v>
      </c>
      <c r="R117" s="34">
        <f>Q117+Костромаэнерго!D117</f>
        <v>4.153</v>
      </c>
      <c r="S117" s="34">
        <v>1.89</v>
      </c>
      <c r="T117" s="14">
        <v>120</v>
      </c>
      <c r="U117" s="50">
        <f t="shared" si="13"/>
        <v>2.263</v>
      </c>
      <c r="V117" s="51">
        <v>0</v>
      </c>
      <c r="W117" s="30">
        <f>1.05*10</f>
        <v>10.5</v>
      </c>
      <c r="X117" s="83">
        <f t="shared" si="14"/>
        <v>8.237</v>
      </c>
      <c r="Y117" s="201"/>
      <c r="Z117" s="203"/>
    </row>
    <row r="118" spans="1:26" s="1" customFormat="1" ht="25.5">
      <c r="A118" s="10">
        <v>93</v>
      </c>
      <c r="B118" s="31" t="s">
        <v>81</v>
      </c>
      <c r="C118" s="28" t="s">
        <v>4</v>
      </c>
      <c r="D118" s="119">
        <v>0.25</v>
      </c>
      <c r="E118" s="34">
        <v>0.07</v>
      </c>
      <c r="F118" s="14">
        <v>120</v>
      </c>
      <c r="G118" s="16">
        <f t="shared" si="12"/>
        <v>0.18</v>
      </c>
      <c r="H118" s="93">
        <v>0</v>
      </c>
      <c r="I118" s="30">
        <f>1.05*2.5</f>
        <v>2.625</v>
      </c>
      <c r="J118" s="30">
        <f t="shared" si="15"/>
        <v>2.445</v>
      </c>
      <c r="K118" s="33">
        <f>J118</f>
        <v>2.445</v>
      </c>
      <c r="L118" s="84" t="str">
        <f>IF(K118&lt;0,"closed","opened")</f>
        <v>opened</v>
      </c>
      <c r="M118" s="104"/>
      <c r="N118" s="73">
        <v>93</v>
      </c>
      <c r="O118" s="31" t="s">
        <v>81</v>
      </c>
      <c r="P118" s="65" t="s">
        <v>4</v>
      </c>
      <c r="Q118" s="131">
        <v>0.025</v>
      </c>
      <c r="R118" s="34">
        <f>Q118+Костромаэнерго!D118</f>
        <v>0.275</v>
      </c>
      <c r="S118" s="34">
        <v>0.07</v>
      </c>
      <c r="T118" s="14">
        <v>120</v>
      </c>
      <c r="U118" s="50">
        <f t="shared" si="13"/>
        <v>0.20500000000000002</v>
      </c>
      <c r="V118" s="51">
        <v>0</v>
      </c>
      <c r="W118" s="30">
        <f>1.05*2.5</f>
        <v>2.625</v>
      </c>
      <c r="X118" s="83">
        <f t="shared" si="14"/>
        <v>2.42</v>
      </c>
      <c r="Y118" s="82">
        <f>X118</f>
        <v>2.42</v>
      </c>
      <c r="Z118" s="84" t="str">
        <f>IF(Y118&lt;0,"closed","opened")</f>
        <v>opened</v>
      </c>
    </row>
    <row r="119" spans="1:26" s="1" customFormat="1" ht="25.5">
      <c r="A119" s="230">
        <v>94</v>
      </c>
      <c r="B119" s="31" t="s">
        <v>82</v>
      </c>
      <c r="C119" s="28" t="s">
        <v>11</v>
      </c>
      <c r="D119" s="119">
        <v>5.31</v>
      </c>
      <c r="E119" s="95">
        <f>E121+E120</f>
        <v>2.88</v>
      </c>
      <c r="F119" s="14">
        <v>120</v>
      </c>
      <c r="G119" s="16">
        <f t="shared" si="12"/>
        <v>2.4299999999999997</v>
      </c>
      <c r="H119" s="93">
        <v>0</v>
      </c>
      <c r="I119" s="30">
        <f>1.05*16</f>
        <v>16.8</v>
      </c>
      <c r="J119" s="30">
        <f t="shared" si="15"/>
        <v>14.370000000000001</v>
      </c>
      <c r="K119" s="206">
        <f>MIN(J119:J121)</f>
        <v>14.370000000000001</v>
      </c>
      <c r="L119" s="202" t="str">
        <f>IF(K119&lt;0,"closed","opened")</f>
        <v>opened</v>
      </c>
      <c r="M119" s="104"/>
      <c r="N119" s="198">
        <v>94</v>
      </c>
      <c r="O119" s="31" t="s">
        <v>82</v>
      </c>
      <c r="P119" s="65" t="s">
        <v>11</v>
      </c>
      <c r="Q119" s="146">
        <v>0.753</v>
      </c>
      <c r="R119" s="34">
        <f>Q119+Костромаэнерго!D119</f>
        <v>6.063</v>
      </c>
      <c r="S119" s="101">
        <f>S121+S120</f>
        <v>2.88</v>
      </c>
      <c r="T119" s="14">
        <v>120</v>
      </c>
      <c r="U119" s="50">
        <f t="shared" si="13"/>
        <v>3.183</v>
      </c>
      <c r="V119" s="51">
        <v>0</v>
      </c>
      <c r="W119" s="30">
        <f>1.05*16</f>
        <v>16.8</v>
      </c>
      <c r="X119" s="83">
        <f t="shared" si="14"/>
        <v>13.617</v>
      </c>
      <c r="Y119" s="209">
        <f>MIN(X119:X121)</f>
        <v>13.617</v>
      </c>
      <c r="Z119" s="202" t="str">
        <f>IF(Y119&lt;0,"closed","opened")</f>
        <v>opened</v>
      </c>
    </row>
    <row r="120" spans="1:26" s="1" customFormat="1" ht="15">
      <c r="A120" s="231"/>
      <c r="B120" s="261" t="s">
        <v>48</v>
      </c>
      <c r="C120" s="28" t="s">
        <v>11</v>
      </c>
      <c r="D120" s="99">
        <v>0</v>
      </c>
      <c r="E120" s="34">
        <v>0</v>
      </c>
      <c r="F120" s="14">
        <v>120</v>
      </c>
      <c r="G120" s="15">
        <f t="shared" si="12"/>
        <v>0</v>
      </c>
      <c r="H120" s="93">
        <v>0</v>
      </c>
      <c r="I120" s="30">
        <f>1.05*16</f>
        <v>16.8</v>
      </c>
      <c r="J120" s="30">
        <f>I120-D120</f>
        <v>16.8</v>
      </c>
      <c r="K120" s="207"/>
      <c r="L120" s="203"/>
      <c r="M120" s="104"/>
      <c r="N120" s="199"/>
      <c r="O120" s="261" t="s">
        <v>48</v>
      </c>
      <c r="P120" s="65" t="s">
        <v>11</v>
      </c>
      <c r="Q120" s="158">
        <v>0</v>
      </c>
      <c r="R120" s="34">
        <f>Q120+Костромаэнерго!D120</f>
        <v>0</v>
      </c>
      <c r="S120" s="34">
        <v>0</v>
      </c>
      <c r="T120" s="14">
        <v>120</v>
      </c>
      <c r="U120" s="50">
        <f t="shared" si="13"/>
        <v>0</v>
      </c>
      <c r="V120" s="51">
        <v>0</v>
      </c>
      <c r="W120" s="30">
        <f>1.05*16</f>
        <v>16.8</v>
      </c>
      <c r="X120" s="83">
        <f t="shared" si="14"/>
        <v>16.8</v>
      </c>
      <c r="Y120" s="210"/>
      <c r="Z120" s="203"/>
    </row>
    <row r="121" spans="1:26" s="1" customFormat="1" ht="15">
      <c r="A121" s="232"/>
      <c r="B121" s="261" t="s">
        <v>49</v>
      </c>
      <c r="C121" s="28" t="s">
        <v>11</v>
      </c>
      <c r="D121" s="99">
        <v>5.31</v>
      </c>
      <c r="E121" s="34">
        <v>2.88</v>
      </c>
      <c r="F121" s="14">
        <v>120</v>
      </c>
      <c r="G121" s="19">
        <f t="shared" si="12"/>
        <v>2.4299999999999997</v>
      </c>
      <c r="H121" s="93">
        <v>0</v>
      </c>
      <c r="I121" s="30">
        <f>1.05*16</f>
        <v>16.8</v>
      </c>
      <c r="J121" s="30">
        <f t="shared" si="15"/>
        <v>14.370000000000001</v>
      </c>
      <c r="K121" s="208"/>
      <c r="L121" s="204"/>
      <c r="M121" s="104"/>
      <c r="N121" s="200"/>
      <c r="O121" s="261" t="s">
        <v>49</v>
      </c>
      <c r="P121" s="65" t="s">
        <v>11</v>
      </c>
      <c r="Q121" s="146">
        <v>0.753</v>
      </c>
      <c r="R121" s="34">
        <f>Q121+Костромаэнерго!D121</f>
        <v>6.063</v>
      </c>
      <c r="S121" s="34">
        <v>2.88</v>
      </c>
      <c r="T121" s="14">
        <v>120</v>
      </c>
      <c r="U121" s="50">
        <f t="shared" si="13"/>
        <v>3.183</v>
      </c>
      <c r="V121" s="51">
        <v>0</v>
      </c>
      <c r="W121" s="30">
        <f>1.05*16</f>
        <v>16.8</v>
      </c>
      <c r="X121" s="83">
        <f t="shared" si="14"/>
        <v>13.617</v>
      </c>
      <c r="Y121" s="211"/>
      <c r="Z121" s="204"/>
    </row>
    <row r="122" spans="1:26" s="69" customFormat="1" ht="27.75" customHeight="1">
      <c r="A122" s="198">
        <v>95</v>
      </c>
      <c r="B122" s="31" t="s">
        <v>83</v>
      </c>
      <c r="C122" s="28" t="s">
        <v>0</v>
      </c>
      <c r="D122" s="99">
        <v>23.04</v>
      </c>
      <c r="E122" s="95">
        <f>E124+E123</f>
        <v>0.02</v>
      </c>
      <c r="F122" s="14">
        <v>120</v>
      </c>
      <c r="G122" s="16">
        <f t="shared" si="12"/>
        <v>23.02</v>
      </c>
      <c r="H122" s="93">
        <v>0</v>
      </c>
      <c r="I122" s="30">
        <f>1.05*25</f>
        <v>26.25</v>
      </c>
      <c r="J122" s="30">
        <f t="shared" si="15"/>
        <v>3.2300000000000004</v>
      </c>
      <c r="K122" s="206">
        <f>MIN(J122:J124)</f>
        <v>3.2300000000000004</v>
      </c>
      <c r="L122" s="203" t="str">
        <f>IF(K122&lt;0,"closed","opened")</f>
        <v>opened</v>
      </c>
      <c r="M122" s="104"/>
      <c r="N122" s="198">
        <v>95</v>
      </c>
      <c r="O122" s="31" t="s">
        <v>83</v>
      </c>
      <c r="P122" s="65" t="s">
        <v>0</v>
      </c>
      <c r="Q122" s="146">
        <v>1.344</v>
      </c>
      <c r="R122" s="34">
        <f>Q122+Костромаэнерго!D122</f>
        <v>24.384</v>
      </c>
      <c r="S122" s="101">
        <f>S124+S123</f>
        <v>0.02</v>
      </c>
      <c r="T122" s="14">
        <v>120</v>
      </c>
      <c r="U122" s="50">
        <f t="shared" si="13"/>
        <v>24.364</v>
      </c>
      <c r="V122" s="51">
        <v>0</v>
      </c>
      <c r="W122" s="30">
        <f>1.05*25</f>
        <v>26.25</v>
      </c>
      <c r="X122" s="83">
        <f t="shared" si="14"/>
        <v>1.8859999999999992</v>
      </c>
      <c r="Y122" s="209">
        <f>MIN(X122:X124)</f>
        <v>1.8859999999999992</v>
      </c>
      <c r="Z122" s="202" t="str">
        <f>IF(Y122&lt;0,"closed","opened")</f>
        <v>opened</v>
      </c>
    </row>
    <row r="123" spans="1:26" s="69" customFormat="1" ht="15">
      <c r="A123" s="199"/>
      <c r="B123" s="263" t="s">
        <v>48</v>
      </c>
      <c r="C123" s="28" t="s">
        <v>0</v>
      </c>
      <c r="D123" s="99">
        <v>19.24</v>
      </c>
      <c r="E123" s="34">
        <v>0</v>
      </c>
      <c r="F123" s="14">
        <v>120</v>
      </c>
      <c r="G123" s="15">
        <f t="shared" si="12"/>
        <v>19.24</v>
      </c>
      <c r="H123" s="93">
        <v>0</v>
      </c>
      <c r="I123" s="30">
        <f>1.05*25</f>
        <v>26.25</v>
      </c>
      <c r="J123" s="30">
        <f>I123-D123</f>
        <v>7.010000000000002</v>
      </c>
      <c r="K123" s="207"/>
      <c r="L123" s="203"/>
      <c r="M123" s="104"/>
      <c r="N123" s="199"/>
      <c r="O123" s="263" t="s">
        <v>48</v>
      </c>
      <c r="P123" s="65" t="s">
        <v>0</v>
      </c>
      <c r="Q123" s="158">
        <v>0</v>
      </c>
      <c r="R123" s="34">
        <f>Q123+Костромаэнерго!D123</f>
        <v>19.24</v>
      </c>
      <c r="S123" s="34">
        <v>0</v>
      </c>
      <c r="T123" s="14">
        <v>120</v>
      </c>
      <c r="U123" s="50">
        <f t="shared" si="13"/>
        <v>19.24</v>
      </c>
      <c r="V123" s="51">
        <v>0</v>
      </c>
      <c r="W123" s="30">
        <f>1.05*25</f>
        <v>26.25</v>
      </c>
      <c r="X123" s="83">
        <f t="shared" si="14"/>
        <v>7.010000000000002</v>
      </c>
      <c r="Y123" s="210"/>
      <c r="Z123" s="203"/>
    </row>
    <row r="124" spans="1:26" s="69" customFormat="1" ht="15">
      <c r="A124" s="200"/>
      <c r="B124" s="263" t="s">
        <v>49</v>
      </c>
      <c r="C124" s="28" t="s">
        <v>0</v>
      </c>
      <c r="D124" s="99">
        <v>3.8</v>
      </c>
      <c r="E124" s="34">
        <v>0.02</v>
      </c>
      <c r="F124" s="14">
        <v>120</v>
      </c>
      <c r="G124" s="19">
        <f t="shared" si="12"/>
        <v>3.78</v>
      </c>
      <c r="H124" s="93">
        <v>0</v>
      </c>
      <c r="I124" s="30">
        <f>1.05*25</f>
        <v>26.25</v>
      </c>
      <c r="J124" s="30">
        <f t="shared" si="15"/>
        <v>22.47</v>
      </c>
      <c r="K124" s="208"/>
      <c r="L124" s="203"/>
      <c r="M124" s="104"/>
      <c r="N124" s="200"/>
      <c r="O124" s="263" t="s">
        <v>49</v>
      </c>
      <c r="P124" s="65" t="s">
        <v>0</v>
      </c>
      <c r="Q124" s="146">
        <v>1.344</v>
      </c>
      <c r="R124" s="34">
        <f>Q124+Костромаэнерго!D124</f>
        <v>5.144</v>
      </c>
      <c r="S124" s="34">
        <v>0.02</v>
      </c>
      <c r="T124" s="14">
        <v>120</v>
      </c>
      <c r="U124" s="50">
        <f t="shared" si="13"/>
        <v>5.1240000000000006</v>
      </c>
      <c r="V124" s="51">
        <v>0</v>
      </c>
      <c r="W124" s="30">
        <f>1.05*25</f>
        <v>26.25</v>
      </c>
      <c r="X124" s="83">
        <f t="shared" si="14"/>
        <v>21.125999999999998</v>
      </c>
      <c r="Y124" s="211"/>
      <c r="Z124" s="204"/>
    </row>
    <row r="125" spans="1:26" s="1" customFormat="1" ht="25.5">
      <c r="A125" s="215">
        <v>96</v>
      </c>
      <c r="B125" s="264" t="s">
        <v>84</v>
      </c>
      <c r="C125" s="122" t="s">
        <v>15</v>
      </c>
      <c r="D125" s="123">
        <v>11.49</v>
      </c>
      <c r="E125" s="124">
        <f>E127+E126</f>
        <v>0</v>
      </c>
      <c r="F125" s="113">
        <v>120</v>
      </c>
      <c r="G125" s="125">
        <f t="shared" si="12"/>
        <v>11.49</v>
      </c>
      <c r="H125" s="121">
        <v>0</v>
      </c>
      <c r="I125" s="126">
        <f>1.05*10</f>
        <v>10.5</v>
      </c>
      <c r="J125" s="126">
        <f t="shared" si="15"/>
        <v>-0.9900000000000002</v>
      </c>
      <c r="K125" s="227">
        <f>MIN(J125:J127)</f>
        <v>-0.9900000000000002</v>
      </c>
      <c r="L125" s="221" t="str">
        <f>IF(K125&lt;0,"closed","opened")</f>
        <v>closed</v>
      </c>
      <c r="M125" s="104"/>
      <c r="N125" s="215">
        <v>96</v>
      </c>
      <c r="O125" s="264" t="s">
        <v>84</v>
      </c>
      <c r="P125" s="135" t="s">
        <v>15</v>
      </c>
      <c r="Q125" s="160">
        <v>1.013</v>
      </c>
      <c r="R125" s="127">
        <f>Q125+Костромаэнерго!D125</f>
        <v>12.503</v>
      </c>
      <c r="S125" s="138">
        <f>S127+S126</f>
        <v>0</v>
      </c>
      <c r="T125" s="113">
        <v>120</v>
      </c>
      <c r="U125" s="114">
        <f t="shared" si="13"/>
        <v>12.503</v>
      </c>
      <c r="V125" s="136">
        <v>0</v>
      </c>
      <c r="W125" s="126">
        <f>1.05*10</f>
        <v>10.5</v>
      </c>
      <c r="X125" s="137">
        <f t="shared" si="14"/>
        <v>-2.003</v>
      </c>
      <c r="Y125" s="218">
        <f>MIN(X125:X127)</f>
        <v>-8.773</v>
      </c>
      <c r="Z125" s="221" t="str">
        <f>IF(Y125&lt;0,"closed","opened")</f>
        <v>closed</v>
      </c>
    </row>
    <row r="126" spans="1:26" s="1" customFormat="1" ht="15">
      <c r="A126" s="216"/>
      <c r="B126" s="265" t="s">
        <v>48</v>
      </c>
      <c r="C126" s="122" t="s">
        <v>15</v>
      </c>
      <c r="D126" s="123">
        <v>2.68</v>
      </c>
      <c r="E126" s="127">
        <v>0</v>
      </c>
      <c r="F126" s="113">
        <v>120</v>
      </c>
      <c r="G126" s="125">
        <f t="shared" si="12"/>
        <v>2.68</v>
      </c>
      <c r="H126" s="121">
        <v>0</v>
      </c>
      <c r="I126" s="126">
        <f>1.05*10</f>
        <v>10.5</v>
      </c>
      <c r="J126" s="126">
        <f>I126-D126</f>
        <v>7.82</v>
      </c>
      <c r="K126" s="228"/>
      <c r="L126" s="222"/>
      <c r="M126" s="104"/>
      <c r="N126" s="216"/>
      <c r="O126" s="265" t="s">
        <v>48</v>
      </c>
      <c r="P126" s="135" t="s">
        <v>15</v>
      </c>
      <c r="Q126" s="161">
        <v>0</v>
      </c>
      <c r="R126" s="127">
        <f>Q126+Костромаэнерго!D126</f>
        <v>2.68</v>
      </c>
      <c r="S126" s="127">
        <v>0</v>
      </c>
      <c r="T126" s="113">
        <v>120</v>
      </c>
      <c r="U126" s="114">
        <f t="shared" si="13"/>
        <v>2.68</v>
      </c>
      <c r="V126" s="136">
        <v>0</v>
      </c>
      <c r="W126" s="126">
        <f>1.05*10</f>
        <v>10.5</v>
      </c>
      <c r="X126" s="137">
        <f t="shared" si="14"/>
        <v>7.82</v>
      </c>
      <c r="Y126" s="219"/>
      <c r="Z126" s="222"/>
    </row>
    <row r="127" spans="1:26" s="1" customFormat="1" ht="15">
      <c r="A127" s="217"/>
      <c r="B127" s="265" t="s">
        <v>49</v>
      </c>
      <c r="C127" s="122" t="s">
        <v>15</v>
      </c>
      <c r="D127" s="123">
        <v>8.81</v>
      </c>
      <c r="E127" s="127">
        <v>0</v>
      </c>
      <c r="F127" s="113">
        <v>120</v>
      </c>
      <c r="G127" s="125">
        <f t="shared" si="12"/>
        <v>8.81</v>
      </c>
      <c r="H127" s="121">
        <v>0</v>
      </c>
      <c r="I127" s="126">
        <f>1.05*10</f>
        <v>10.5</v>
      </c>
      <c r="J127" s="126">
        <f t="shared" si="15"/>
        <v>1.6899999999999995</v>
      </c>
      <c r="K127" s="229"/>
      <c r="L127" s="222"/>
      <c r="M127" s="104"/>
      <c r="N127" s="217"/>
      <c r="O127" s="265" t="s">
        <v>49</v>
      </c>
      <c r="P127" s="135" t="s">
        <v>15</v>
      </c>
      <c r="Q127" s="160">
        <v>1.013</v>
      </c>
      <c r="R127" s="127">
        <f>Q127+Костромаэнерго!D127</f>
        <v>9.823</v>
      </c>
      <c r="S127" s="127">
        <v>0</v>
      </c>
      <c r="T127" s="113">
        <v>120</v>
      </c>
      <c r="U127" s="114">
        <f t="shared" si="13"/>
        <v>9.823</v>
      </c>
      <c r="V127" s="136">
        <v>0</v>
      </c>
      <c r="W127" s="126">
        <f>1.05*1</f>
        <v>1.05</v>
      </c>
      <c r="X127" s="137">
        <f t="shared" si="14"/>
        <v>-8.773</v>
      </c>
      <c r="Y127" s="220"/>
      <c r="Z127" s="222"/>
    </row>
    <row r="128" spans="1:26" s="1" customFormat="1" ht="25.5">
      <c r="A128" s="230">
        <v>97</v>
      </c>
      <c r="B128" s="31" t="s">
        <v>85</v>
      </c>
      <c r="C128" s="28" t="s">
        <v>0</v>
      </c>
      <c r="D128" s="99">
        <v>10.9</v>
      </c>
      <c r="E128" s="95">
        <f>E130+E129</f>
        <v>0</v>
      </c>
      <c r="F128" s="14">
        <v>120</v>
      </c>
      <c r="G128" s="19">
        <f t="shared" si="12"/>
        <v>10.9</v>
      </c>
      <c r="H128" s="93">
        <v>0</v>
      </c>
      <c r="I128" s="30">
        <f>1.05*25</f>
        <v>26.25</v>
      </c>
      <c r="J128" s="30">
        <f t="shared" si="15"/>
        <v>15.35</v>
      </c>
      <c r="K128" s="206">
        <f>MIN(J128:J130)</f>
        <v>15.35</v>
      </c>
      <c r="L128" s="202" t="str">
        <f>IF(K128&lt;0,"closed","opened")</f>
        <v>opened</v>
      </c>
      <c r="M128" s="104"/>
      <c r="N128" s="198">
        <v>97</v>
      </c>
      <c r="O128" s="31" t="s">
        <v>85</v>
      </c>
      <c r="P128" s="65" t="s">
        <v>0</v>
      </c>
      <c r="Q128" s="146">
        <v>11.185</v>
      </c>
      <c r="R128" s="34">
        <f>Q128+Костромаэнерго!D128</f>
        <v>22.085</v>
      </c>
      <c r="S128" s="101">
        <f>S130+S129</f>
        <v>0</v>
      </c>
      <c r="T128" s="14">
        <v>120</v>
      </c>
      <c r="U128" s="50">
        <f t="shared" si="13"/>
        <v>22.085</v>
      </c>
      <c r="V128" s="51">
        <v>0</v>
      </c>
      <c r="W128" s="30">
        <f>1.05*25</f>
        <v>26.25</v>
      </c>
      <c r="X128" s="83">
        <f t="shared" si="14"/>
        <v>4.164999999999999</v>
      </c>
      <c r="Y128" s="209">
        <f>MIN(X128:X130)</f>
        <v>4.164999999999999</v>
      </c>
      <c r="Z128" s="202" t="str">
        <f>IF(Y128&lt;0,"closed","opened")</f>
        <v>opened</v>
      </c>
    </row>
    <row r="129" spans="1:26" s="1" customFormat="1" ht="15">
      <c r="A129" s="231"/>
      <c r="B129" s="261" t="s">
        <v>48</v>
      </c>
      <c r="C129" s="28" t="s">
        <v>0</v>
      </c>
      <c r="D129" s="99">
        <v>5.45</v>
      </c>
      <c r="E129" s="34">
        <v>0</v>
      </c>
      <c r="F129" s="14">
        <v>120</v>
      </c>
      <c r="G129" s="16">
        <f t="shared" si="12"/>
        <v>5.45</v>
      </c>
      <c r="H129" s="93">
        <v>0</v>
      </c>
      <c r="I129" s="30">
        <f>1.05*25</f>
        <v>26.25</v>
      </c>
      <c r="J129" s="30">
        <f>I129-D129</f>
        <v>20.8</v>
      </c>
      <c r="K129" s="207"/>
      <c r="L129" s="203"/>
      <c r="M129" s="104"/>
      <c r="N129" s="199"/>
      <c r="O129" s="261" t="s">
        <v>48</v>
      </c>
      <c r="P129" s="65" t="s">
        <v>0</v>
      </c>
      <c r="Q129" s="158">
        <v>0</v>
      </c>
      <c r="R129" s="34">
        <f>Q129+Костромаэнерго!D129</f>
        <v>5.45</v>
      </c>
      <c r="S129" s="34">
        <v>0</v>
      </c>
      <c r="T129" s="14">
        <v>120</v>
      </c>
      <c r="U129" s="50">
        <f t="shared" si="13"/>
        <v>5.45</v>
      </c>
      <c r="V129" s="51">
        <v>0</v>
      </c>
      <c r="W129" s="30">
        <f>1.05*25</f>
        <v>26.25</v>
      </c>
      <c r="X129" s="83">
        <f t="shared" si="14"/>
        <v>20.8</v>
      </c>
      <c r="Y129" s="210"/>
      <c r="Z129" s="203"/>
    </row>
    <row r="130" spans="1:26" s="1" customFormat="1" ht="15">
      <c r="A130" s="232"/>
      <c r="B130" s="261" t="s">
        <v>49</v>
      </c>
      <c r="C130" s="28" t="s">
        <v>0</v>
      </c>
      <c r="D130" s="99">
        <v>5.45</v>
      </c>
      <c r="E130" s="34">
        <v>0</v>
      </c>
      <c r="F130" s="14">
        <v>120</v>
      </c>
      <c r="G130" s="16">
        <f t="shared" si="12"/>
        <v>5.45</v>
      </c>
      <c r="H130" s="93">
        <v>0</v>
      </c>
      <c r="I130" s="30">
        <f>1.05*25</f>
        <v>26.25</v>
      </c>
      <c r="J130" s="30">
        <f t="shared" si="15"/>
        <v>20.8</v>
      </c>
      <c r="K130" s="208"/>
      <c r="L130" s="204"/>
      <c r="M130" s="104"/>
      <c r="N130" s="200"/>
      <c r="O130" s="261" t="s">
        <v>49</v>
      </c>
      <c r="P130" s="65" t="s">
        <v>0</v>
      </c>
      <c r="Q130" s="146">
        <v>11.185</v>
      </c>
      <c r="R130" s="34">
        <f>Q130+Костромаэнерго!D130</f>
        <v>16.635</v>
      </c>
      <c r="S130" s="34">
        <v>0</v>
      </c>
      <c r="T130" s="14">
        <v>120</v>
      </c>
      <c r="U130" s="50">
        <f t="shared" si="13"/>
        <v>16.635</v>
      </c>
      <c r="V130" s="51">
        <v>0</v>
      </c>
      <c r="W130" s="30">
        <f>1.05*25</f>
        <v>26.25</v>
      </c>
      <c r="X130" s="83">
        <f t="shared" si="14"/>
        <v>9.614999999999998</v>
      </c>
      <c r="Y130" s="211"/>
      <c r="Z130" s="204"/>
    </row>
    <row r="131" spans="1:27" s="69" customFormat="1" ht="31.5" customHeight="1">
      <c r="A131" s="102">
        <v>98</v>
      </c>
      <c r="B131" s="31" t="s">
        <v>86</v>
      </c>
      <c r="C131" s="28" t="s">
        <v>0</v>
      </c>
      <c r="D131" s="119">
        <v>8.91</v>
      </c>
      <c r="E131" s="34">
        <v>0.02</v>
      </c>
      <c r="F131" s="14">
        <v>120</v>
      </c>
      <c r="G131" s="16">
        <f t="shared" si="12"/>
        <v>8.89</v>
      </c>
      <c r="H131" s="16">
        <v>0</v>
      </c>
      <c r="I131" s="30">
        <f>1.05*25</f>
        <v>26.25</v>
      </c>
      <c r="J131" s="30">
        <f t="shared" si="15"/>
        <v>17.36</v>
      </c>
      <c r="K131" s="33">
        <f>J131</f>
        <v>17.36</v>
      </c>
      <c r="L131" s="74" t="str">
        <f>IF(K131&lt;0,"closed","opened")</f>
        <v>opened</v>
      </c>
      <c r="M131" s="104"/>
      <c r="N131" s="102">
        <v>98</v>
      </c>
      <c r="O131" s="31" t="s">
        <v>86</v>
      </c>
      <c r="P131" s="28" t="s">
        <v>0</v>
      </c>
      <c r="Q131" s="131">
        <v>4.653</v>
      </c>
      <c r="R131" s="34">
        <f>Q131+Костромаэнерго!D131</f>
        <v>13.562999999999999</v>
      </c>
      <c r="S131" s="34">
        <v>0.02</v>
      </c>
      <c r="T131" s="14">
        <v>120</v>
      </c>
      <c r="U131" s="50">
        <f t="shared" si="13"/>
        <v>13.543</v>
      </c>
      <c r="V131" s="51">
        <v>0</v>
      </c>
      <c r="W131" s="30">
        <f>1.05*25</f>
        <v>26.25</v>
      </c>
      <c r="X131" s="83">
        <f t="shared" si="14"/>
        <v>12.707</v>
      </c>
      <c r="Y131" s="82">
        <f aca="true" t="shared" si="18" ref="Y131:Y137">X131</f>
        <v>12.707</v>
      </c>
      <c r="Z131" s="18" t="str">
        <f>IF(Y131&lt;0,"closed","opened")</f>
        <v>opened</v>
      </c>
      <c r="AA131" s="103" t="s">
        <v>227</v>
      </c>
    </row>
    <row r="132" spans="1:26" s="1" customFormat="1" ht="25.5">
      <c r="A132" s="10">
        <v>99</v>
      </c>
      <c r="B132" s="31" t="s">
        <v>87</v>
      </c>
      <c r="C132" s="28" t="s">
        <v>2</v>
      </c>
      <c r="D132" s="131">
        <v>10.38</v>
      </c>
      <c r="E132" s="34">
        <v>0</v>
      </c>
      <c r="F132" s="14">
        <v>0</v>
      </c>
      <c r="G132" s="16">
        <f t="shared" si="12"/>
        <v>10.38</v>
      </c>
      <c r="H132" s="93">
        <v>0</v>
      </c>
      <c r="I132" s="30">
        <f>1.05*10</f>
        <v>10.5</v>
      </c>
      <c r="J132" s="30">
        <f t="shared" si="15"/>
        <v>0.11999999999999922</v>
      </c>
      <c r="K132" s="33">
        <f>J132</f>
        <v>0.11999999999999922</v>
      </c>
      <c r="L132" s="74" t="str">
        <f>IF(K132&lt;0,"closed","opened")</f>
        <v>opened</v>
      </c>
      <c r="M132" s="104"/>
      <c r="N132" s="120">
        <v>99</v>
      </c>
      <c r="O132" s="264" t="s">
        <v>87</v>
      </c>
      <c r="P132" s="135" t="s">
        <v>2</v>
      </c>
      <c r="Q132" s="128">
        <v>0.794</v>
      </c>
      <c r="R132" s="127">
        <f>Q132+Костромаэнерго!D132</f>
        <v>11.174000000000001</v>
      </c>
      <c r="S132" s="127">
        <v>0</v>
      </c>
      <c r="T132" s="113">
        <v>0</v>
      </c>
      <c r="U132" s="114">
        <f t="shared" si="13"/>
        <v>11.174000000000001</v>
      </c>
      <c r="V132" s="136">
        <v>0</v>
      </c>
      <c r="W132" s="126">
        <v>10.5</v>
      </c>
      <c r="X132" s="137">
        <f t="shared" si="14"/>
        <v>-0.6740000000000013</v>
      </c>
      <c r="Y132" s="143">
        <f t="shared" si="18"/>
        <v>-0.6740000000000013</v>
      </c>
      <c r="Z132" s="141" t="str">
        <f>IF(Y132&lt;0,"closed","opened")</f>
        <v>closed</v>
      </c>
    </row>
    <row r="133" spans="1:26" s="1" customFormat="1" ht="25.5">
      <c r="A133" s="10">
        <v>100</v>
      </c>
      <c r="B133" s="31" t="s">
        <v>88</v>
      </c>
      <c r="C133" s="28" t="s">
        <v>16</v>
      </c>
      <c r="D133" s="131">
        <v>19.24</v>
      </c>
      <c r="E133" s="61">
        <v>0</v>
      </c>
      <c r="F133" s="14">
        <v>0</v>
      </c>
      <c r="G133" s="16">
        <f t="shared" si="12"/>
        <v>19.24</v>
      </c>
      <c r="H133" s="93">
        <v>0</v>
      </c>
      <c r="I133" s="30">
        <f>1.05*20</f>
        <v>21</v>
      </c>
      <c r="J133" s="30">
        <f t="shared" si="15"/>
        <v>1.7600000000000016</v>
      </c>
      <c r="K133" s="33">
        <f aca="true" t="shared" si="19" ref="K133:K140">J133</f>
        <v>1.7600000000000016</v>
      </c>
      <c r="L133" s="84" t="str">
        <f>IF(K133&lt;0,"closed","opened")</f>
        <v>opened</v>
      </c>
      <c r="M133" s="104"/>
      <c r="N133" s="73">
        <v>100</v>
      </c>
      <c r="O133" s="31" t="s">
        <v>88</v>
      </c>
      <c r="P133" s="65" t="s">
        <v>16</v>
      </c>
      <c r="Q133" s="131">
        <v>1.651</v>
      </c>
      <c r="R133" s="34">
        <f>Q133+Костромаэнерго!D133</f>
        <v>20.891</v>
      </c>
      <c r="S133" s="34">
        <v>0</v>
      </c>
      <c r="T133" s="14">
        <v>0</v>
      </c>
      <c r="U133" s="50">
        <f t="shared" si="13"/>
        <v>20.891</v>
      </c>
      <c r="V133" s="51">
        <v>0</v>
      </c>
      <c r="W133" s="30">
        <f>1.05*20</f>
        <v>21</v>
      </c>
      <c r="X133" s="83">
        <f t="shared" si="14"/>
        <v>0.10900000000000176</v>
      </c>
      <c r="Y133" s="82">
        <f t="shared" si="18"/>
        <v>0.10900000000000176</v>
      </c>
      <c r="Z133" s="84" t="str">
        <f>IF(Y133&lt;0,"closed","opened")</f>
        <v>opened</v>
      </c>
    </row>
    <row r="134" spans="1:26" s="1" customFormat="1" ht="25.5">
      <c r="A134" s="10">
        <v>101</v>
      </c>
      <c r="B134" s="31" t="s">
        <v>89</v>
      </c>
      <c r="C134" s="28" t="s">
        <v>1</v>
      </c>
      <c r="D134" s="106">
        <v>9.030001</v>
      </c>
      <c r="E134" s="61">
        <v>0</v>
      </c>
      <c r="F134" s="14">
        <v>0</v>
      </c>
      <c r="G134" s="16">
        <f t="shared" si="12"/>
        <v>9.030001</v>
      </c>
      <c r="H134" s="93">
        <v>0</v>
      </c>
      <c r="I134" s="30">
        <f>1.05*40</f>
        <v>42</v>
      </c>
      <c r="J134" s="30">
        <f t="shared" si="15"/>
        <v>32.969999</v>
      </c>
      <c r="K134" s="33">
        <f t="shared" si="19"/>
        <v>32.969999</v>
      </c>
      <c r="L134" s="84" t="str">
        <f>IF(K134&lt;0,"closed","opened")</f>
        <v>opened</v>
      </c>
      <c r="M134" s="104"/>
      <c r="N134" s="73">
        <v>101</v>
      </c>
      <c r="O134" s="31" t="s">
        <v>89</v>
      </c>
      <c r="P134" s="65" t="s">
        <v>1</v>
      </c>
      <c r="Q134" s="131">
        <v>4.332</v>
      </c>
      <c r="R134" s="34">
        <f>Q134+Костромаэнерго!D134</f>
        <v>13.362001</v>
      </c>
      <c r="S134" s="34">
        <v>0</v>
      </c>
      <c r="T134" s="14">
        <v>0</v>
      </c>
      <c r="U134" s="50">
        <f t="shared" si="13"/>
        <v>13.362001</v>
      </c>
      <c r="V134" s="51">
        <v>0</v>
      </c>
      <c r="W134" s="30">
        <f>1.05*40</f>
        <v>42</v>
      </c>
      <c r="X134" s="83">
        <f t="shared" si="14"/>
        <v>28.637999</v>
      </c>
      <c r="Y134" s="82">
        <f t="shared" si="18"/>
        <v>28.637999</v>
      </c>
      <c r="Z134" s="84" t="str">
        <f>IF(Y134&lt;0,"closed","opened")</f>
        <v>opened</v>
      </c>
    </row>
    <row r="135" spans="1:26" s="1" customFormat="1" ht="25.5">
      <c r="A135" s="22">
        <v>102</v>
      </c>
      <c r="B135" s="31" t="s">
        <v>90</v>
      </c>
      <c r="C135" s="28" t="s">
        <v>0</v>
      </c>
      <c r="D135" s="119">
        <v>16.44</v>
      </c>
      <c r="E135" s="61">
        <v>0</v>
      </c>
      <c r="F135" s="14">
        <v>0</v>
      </c>
      <c r="G135" s="16">
        <f t="shared" si="12"/>
        <v>16.44</v>
      </c>
      <c r="H135" s="93">
        <v>0</v>
      </c>
      <c r="I135" s="30">
        <f>1.05*25</f>
        <v>26.25</v>
      </c>
      <c r="J135" s="30">
        <f t="shared" si="15"/>
        <v>9.809999999999999</v>
      </c>
      <c r="K135" s="32">
        <f>MIN(J135:J135)</f>
        <v>9.809999999999999</v>
      </c>
      <c r="L135" s="84" t="str">
        <f>IF(K135&lt;0,"closed","opened")</f>
        <v>opened</v>
      </c>
      <c r="M135" s="104"/>
      <c r="N135" s="72">
        <v>102</v>
      </c>
      <c r="O135" s="31" t="s">
        <v>90</v>
      </c>
      <c r="P135" s="65" t="s">
        <v>0</v>
      </c>
      <c r="Q135" s="131">
        <v>5.519</v>
      </c>
      <c r="R135" s="34">
        <f>Q135+Костромаэнерго!D135</f>
        <v>21.959000000000003</v>
      </c>
      <c r="S135" s="34">
        <v>0</v>
      </c>
      <c r="T135" s="14">
        <v>0</v>
      </c>
      <c r="U135" s="50">
        <f t="shared" si="13"/>
        <v>21.959000000000003</v>
      </c>
      <c r="V135" s="51">
        <v>0</v>
      </c>
      <c r="W135" s="30">
        <f>1.05*25</f>
        <v>26.25</v>
      </c>
      <c r="X135" s="83">
        <f t="shared" si="14"/>
        <v>4.290999999999997</v>
      </c>
      <c r="Y135" s="82">
        <f t="shared" si="18"/>
        <v>4.290999999999997</v>
      </c>
      <c r="Z135" s="84" t="str">
        <f>IF(Y135&lt;0,"closed","opened")</f>
        <v>opened</v>
      </c>
    </row>
    <row r="136" spans="1:27" s="69" customFormat="1" ht="25.5">
      <c r="A136" s="73">
        <v>103</v>
      </c>
      <c r="B136" s="31" t="s">
        <v>91</v>
      </c>
      <c r="C136" s="28" t="s">
        <v>14</v>
      </c>
      <c r="D136" s="119">
        <v>1.99</v>
      </c>
      <c r="E136" s="34">
        <v>1.2</v>
      </c>
      <c r="F136" s="14">
        <v>120</v>
      </c>
      <c r="G136" s="16">
        <f t="shared" si="12"/>
        <v>0.79</v>
      </c>
      <c r="H136" s="93">
        <v>0</v>
      </c>
      <c r="I136" s="30">
        <f>1.05*6.3</f>
        <v>6.615</v>
      </c>
      <c r="J136" s="30">
        <f aca="true" t="shared" si="20" ref="J136:J199">I136-G136-H136</f>
        <v>5.825</v>
      </c>
      <c r="K136" s="33">
        <f t="shared" si="19"/>
        <v>5.825</v>
      </c>
      <c r="L136" s="84" t="str">
        <f>IF(K136&lt;0,"closed","opened")</f>
        <v>opened</v>
      </c>
      <c r="M136" s="104"/>
      <c r="N136" s="73">
        <v>103</v>
      </c>
      <c r="O136" s="31" t="s">
        <v>91</v>
      </c>
      <c r="P136" s="65" t="s">
        <v>14</v>
      </c>
      <c r="Q136" s="131">
        <v>0.745</v>
      </c>
      <c r="R136" s="34">
        <f>Q136+Костромаэнерго!D136</f>
        <v>2.735</v>
      </c>
      <c r="S136" s="34">
        <v>1.2</v>
      </c>
      <c r="T136" s="14">
        <v>120</v>
      </c>
      <c r="U136" s="50">
        <f t="shared" si="13"/>
        <v>1.535</v>
      </c>
      <c r="V136" s="51">
        <v>0</v>
      </c>
      <c r="W136" s="30">
        <f>1.05*6.3</f>
        <v>6.615</v>
      </c>
      <c r="X136" s="83">
        <f t="shared" si="14"/>
        <v>5.08</v>
      </c>
      <c r="Y136" s="82">
        <f t="shared" si="18"/>
        <v>5.08</v>
      </c>
      <c r="Z136" s="84" t="str">
        <f>IF(Y136&lt;0,"closed","opened")</f>
        <v>opened</v>
      </c>
      <c r="AA136" s="80"/>
    </row>
    <row r="137" spans="1:26" s="69" customFormat="1" ht="25.5">
      <c r="A137" s="73">
        <v>104</v>
      </c>
      <c r="B137" s="31" t="s">
        <v>92</v>
      </c>
      <c r="C137" s="28" t="s">
        <v>5</v>
      </c>
      <c r="D137" s="119">
        <v>1.29</v>
      </c>
      <c r="E137" s="34">
        <v>0.76</v>
      </c>
      <c r="F137" s="14">
        <v>120</v>
      </c>
      <c r="G137" s="16">
        <f t="shared" si="12"/>
        <v>0.53</v>
      </c>
      <c r="H137" s="93">
        <v>0</v>
      </c>
      <c r="I137" s="30">
        <f>1.05*4</f>
        <v>4.2</v>
      </c>
      <c r="J137" s="30">
        <f t="shared" si="20"/>
        <v>3.67</v>
      </c>
      <c r="K137" s="33">
        <f t="shared" si="19"/>
        <v>3.67</v>
      </c>
      <c r="L137" s="84" t="str">
        <f>IF(K137&lt;0,"closed","opened")</f>
        <v>opened</v>
      </c>
      <c r="M137" s="104"/>
      <c r="N137" s="73">
        <v>104</v>
      </c>
      <c r="O137" s="31" t="s">
        <v>92</v>
      </c>
      <c r="P137" s="65" t="s">
        <v>5</v>
      </c>
      <c r="Q137" s="131">
        <v>0.23</v>
      </c>
      <c r="R137" s="34">
        <f>Q137+Костромаэнерго!D137</f>
        <v>1.52</v>
      </c>
      <c r="S137" s="29">
        <v>0.76</v>
      </c>
      <c r="T137" s="14">
        <v>120</v>
      </c>
      <c r="U137" s="50">
        <f t="shared" si="13"/>
        <v>0.76</v>
      </c>
      <c r="V137" s="51">
        <v>0</v>
      </c>
      <c r="W137" s="30">
        <f>1.05*4</f>
        <v>4.2</v>
      </c>
      <c r="X137" s="83">
        <f t="shared" si="14"/>
        <v>3.4400000000000004</v>
      </c>
      <c r="Y137" s="82">
        <f t="shared" si="18"/>
        <v>3.4400000000000004</v>
      </c>
      <c r="Z137" s="84" t="str">
        <f>IF(Y137&lt;0,"closed","opened")</f>
        <v>opened</v>
      </c>
    </row>
    <row r="138" spans="1:27" s="104" customFormat="1" ht="25.5">
      <c r="A138" s="120">
        <v>105</v>
      </c>
      <c r="B138" s="264" t="s">
        <v>93</v>
      </c>
      <c r="C138" s="122" t="s">
        <v>17</v>
      </c>
      <c r="D138" s="128">
        <v>22.36</v>
      </c>
      <c r="E138" s="127">
        <v>0</v>
      </c>
      <c r="F138" s="113">
        <v>0</v>
      </c>
      <c r="G138" s="129">
        <f aca="true" t="shared" si="21" ref="G138:G201">D138-E138</f>
        <v>22.36</v>
      </c>
      <c r="H138" s="121">
        <v>0</v>
      </c>
      <c r="I138" s="126">
        <f>1.05*(10+6.3)</f>
        <v>17.115000000000002</v>
      </c>
      <c r="J138" s="126">
        <f t="shared" si="20"/>
        <v>-5.244999999999997</v>
      </c>
      <c r="K138" s="130">
        <f t="shared" si="19"/>
        <v>-5.244999999999997</v>
      </c>
      <c r="L138" s="116" t="str">
        <f>IF(K138&lt;0,"closed","opened")</f>
        <v>closed</v>
      </c>
      <c r="N138" s="120">
        <v>105</v>
      </c>
      <c r="O138" s="264" t="s">
        <v>93</v>
      </c>
      <c r="P138" s="135" t="s">
        <v>17</v>
      </c>
      <c r="Q138" s="128">
        <v>1.9</v>
      </c>
      <c r="R138" s="127">
        <f>Q138+Костромаэнерго!D138</f>
        <v>24.259999999999998</v>
      </c>
      <c r="S138" s="127">
        <v>0</v>
      </c>
      <c r="T138" s="113">
        <v>0</v>
      </c>
      <c r="U138" s="114">
        <f aca="true" t="shared" si="22" ref="U138:U201">R138-S138</f>
        <v>24.259999999999998</v>
      </c>
      <c r="V138" s="136">
        <v>0</v>
      </c>
      <c r="W138" s="126">
        <f>1.05*16.3</f>
        <v>17.115000000000002</v>
      </c>
      <c r="X138" s="137">
        <f aca="true" t="shared" si="23" ref="X138:X201">W138-V138-U138</f>
        <v>-7.144999999999996</v>
      </c>
      <c r="Y138" s="143">
        <f>X138</f>
        <v>-7.144999999999996</v>
      </c>
      <c r="Z138" s="116" t="str">
        <f>IF(Y138&lt;0,"closed","opened")</f>
        <v>closed</v>
      </c>
      <c r="AA138" s="69"/>
    </row>
    <row r="139" spans="1:27" s="69" customFormat="1" ht="25.5">
      <c r="A139" s="73">
        <v>106</v>
      </c>
      <c r="B139" s="31" t="s">
        <v>94</v>
      </c>
      <c r="C139" s="28" t="s">
        <v>14</v>
      </c>
      <c r="D139" s="119">
        <v>3.46</v>
      </c>
      <c r="E139" s="34">
        <v>0</v>
      </c>
      <c r="F139" s="14">
        <v>0</v>
      </c>
      <c r="G139" s="16">
        <f t="shared" si="21"/>
        <v>3.46</v>
      </c>
      <c r="H139" s="93">
        <v>0</v>
      </c>
      <c r="I139" s="30">
        <f>1.05*6.3</f>
        <v>6.615</v>
      </c>
      <c r="J139" s="30">
        <f t="shared" si="20"/>
        <v>3.1550000000000002</v>
      </c>
      <c r="K139" s="33">
        <f t="shared" si="19"/>
        <v>3.1550000000000002</v>
      </c>
      <c r="L139" s="84" t="str">
        <f>IF(K139&lt;0,"closed","opened")</f>
        <v>opened</v>
      </c>
      <c r="M139" s="104"/>
      <c r="N139" s="73">
        <v>106</v>
      </c>
      <c r="O139" s="31" t="s">
        <v>94</v>
      </c>
      <c r="P139" s="65" t="s">
        <v>14</v>
      </c>
      <c r="Q139" s="131">
        <v>1.542</v>
      </c>
      <c r="R139" s="34">
        <f>Q139+Костромаэнерго!D139</f>
        <v>5.002</v>
      </c>
      <c r="S139" s="34">
        <v>0</v>
      </c>
      <c r="T139" s="14">
        <v>0</v>
      </c>
      <c r="U139" s="50">
        <f t="shared" si="22"/>
        <v>5.002</v>
      </c>
      <c r="V139" s="51">
        <v>0</v>
      </c>
      <c r="W139" s="30">
        <f>1.05*6.3</f>
        <v>6.615</v>
      </c>
      <c r="X139" s="83">
        <f t="shared" si="23"/>
        <v>1.6130000000000004</v>
      </c>
      <c r="Y139" s="82">
        <f>X139</f>
        <v>1.6130000000000004</v>
      </c>
      <c r="Z139" s="84" t="str">
        <f>IF(Y139&lt;0,"closed","opened")</f>
        <v>opened</v>
      </c>
      <c r="AA139" s="80"/>
    </row>
    <row r="140" spans="1:27" s="69" customFormat="1" ht="25.5">
      <c r="A140" s="73">
        <v>107</v>
      </c>
      <c r="B140" s="31" t="s">
        <v>95</v>
      </c>
      <c r="C140" s="28" t="s">
        <v>4</v>
      </c>
      <c r="D140" s="119">
        <v>1.67</v>
      </c>
      <c r="E140" s="34">
        <v>0.85</v>
      </c>
      <c r="F140" s="14">
        <v>120</v>
      </c>
      <c r="G140" s="16">
        <f t="shared" si="21"/>
        <v>0.82</v>
      </c>
      <c r="H140" s="93">
        <v>0</v>
      </c>
      <c r="I140" s="30">
        <f>1.05*2.5</f>
        <v>2.625</v>
      </c>
      <c r="J140" s="30">
        <f t="shared" si="20"/>
        <v>1.8050000000000002</v>
      </c>
      <c r="K140" s="33">
        <f t="shared" si="19"/>
        <v>1.8050000000000002</v>
      </c>
      <c r="L140" s="84" t="str">
        <f>IF(K140&lt;0,"closed","opened")</f>
        <v>opened</v>
      </c>
      <c r="M140" s="104"/>
      <c r="N140" s="73">
        <v>107</v>
      </c>
      <c r="O140" s="31" t="s">
        <v>95</v>
      </c>
      <c r="P140" s="65" t="s">
        <v>4</v>
      </c>
      <c r="Q140" s="131">
        <v>0.379</v>
      </c>
      <c r="R140" s="34">
        <f>Q140+Костромаэнерго!D140</f>
        <v>2.049</v>
      </c>
      <c r="S140" s="34">
        <v>0.85</v>
      </c>
      <c r="T140" s="14">
        <v>120</v>
      </c>
      <c r="U140" s="50">
        <f t="shared" si="22"/>
        <v>1.1989999999999998</v>
      </c>
      <c r="V140" s="51">
        <v>0</v>
      </c>
      <c r="W140" s="30">
        <f>1.05*2.5</f>
        <v>2.625</v>
      </c>
      <c r="X140" s="83">
        <f t="shared" si="23"/>
        <v>1.4260000000000002</v>
      </c>
      <c r="Y140" s="82">
        <f>X140</f>
        <v>1.4260000000000002</v>
      </c>
      <c r="Z140" s="84" t="str">
        <f>IF(Y140&lt;0,"closed","opened")</f>
        <v>opened</v>
      </c>
      <c r="AA140" s="80"/>
    </row>
    <row r="141" spans="1:26" s="69" customFormat="1" ht="25.5">
      <c r="A141" s="198">
        <v>108</v>
      </c>
      <c r="B141" s="31" t="s">
        <v>96</v>
      </c>
      <c r="C141" s="28" t="s">
        <v>11</v>
      </c>
      <c r="D141" s="119">
        <v>7.54</v>
      </c>
      <c r="E141" s="95">
        <f>E143+E142</f>
        <v>1.44</v>
      </c>
      <c r="F141" s="14">
        <v>120</v>
      </c>
      <c r="G141" s="15">
        <f t="shared" si="21"/>
        <v>6.1</v>
      </c>
      <c r="H141" s="93">
        <v>0</v>
      </c>
      <c r="I141" s="30">
        <f>1.05*16</f>
        <v>16.8</v>
      </c>
      <c r="J141" s="30">
        <f t="shared" si="20"/>
        <v>10.700000000000001</v>
      </c>
      <c r="K141" s="206">
        <f>MIN(J141:J143)</f>
        <v>10.700000000000001</v>
      </c>
      <c r="L141" s="202" t="str">
        <f>IF(K141&lt;0,"closed","opened")</f>
        <v>opened</v>
      </c>
      <c r="M141" s="104"/>
      <c r="N141" s="198">
        <v>108</v>
      </c>
      <c r="O141" s="31" t="s">
        <v>96</v>
      </c>
      <c r="P141" s="65" t="s">
        <v>0</v>
      </c>
      <c r="Q141" s="146">
        <v>11.047</v>
      </c>
      <c r="R141" s="34">
        <f>Q141+Костромаэнерго!D141</f>
        <v>18.587</v>
      </c>
      <c r="S141" s="101">
        <f>S143+S142</f>
        <v>1.44</v>
      </c>
      <c r="T141" s="14">
        <v>120</v>
      </c>
      <c r="U141" s="50">
        <f t="shared" si="22"/>
        <v>17.147</v>
      </c>
      <c r="V141" s="51">
        <v>0</v>
      </c>
      <c r="W141" s="30">
        <f>1.05*25</f>
        <v>26.25</v>
      </c>
      <c r="X141" s="83">
        <f t="shared" si="23"/>
        <v>9.103000000000002</v>
      </c>
      <c r="Y141" s="201">
        <f>MIN(X141:X143)</f>
        <v>9.103000000000002</v>
      </c>
      <c r="Z141" s="202" t="str">
        <f>IF(Y141&lt;0,"closed","opened")</f>
        <v>opened</v>
      </c>
    </row>
    <row r="142" spans="1:26" s="69" customFormat="1" ht="15">
      <c r="A142" s="199"/>
      <c r="B142" s="261" t="s">
        <v>48</v>
      </c>
      <c r="C142" s="28" t="s">
        <v>11</v>
      </c>
      <c r="D142" s="118">
        <v>0.62</v>
      </c>
      <c r="E142" s="34">
        <v>0</v>
      </c>
      <c r="F142" s="14">
        <v>120</v>
      </c>
      <c r="G142" s="19">
        <f t="shared" si="21"/>
        <v>0.62</v>
      </c>
      <c r="H142" s="93">
        <v>0</v>
      </c>
      <c r="I142" s="30">
        <f>1.05*16</f>
        <v>16.8</v>
      </c>
      <c r="J142" s="30">
        <f>I142-D142</f>
        <v>16.18</v>
      </c>
      <c r="K142" s="207"/>
      <c r="L142" s="203"/>
      <c r="M142" s="104"/>
      <c r="N142" s="199"/>
      <c r="O142" s="261" t="s">
        <v>48</v>
      </c>
      <c r="P142" s="65" t="s">
        <v>0</v>
      </c>
      <c r="Q142" s="146">
        <v>11.047</v>
      </c>
      <c r="R142" s="34">
        <f>Q142+Костромаэнерго!D142</f>
        <v>11.667</v>
      </c>
      <c r="S142" s="34">
        <v>0</v>
      </c>
      <c r="T142" s="14">
        <v>120</v>
      </c>
      <c r="U142" s="50">
        <f t="shared" si="22"/>
        <v>11.667</v>
      </c>
      <c r="V142" s="51">
        <v>0</v>
      </c>
      <c r="W142" s="30">
        <f>1.05*25</f>
        <v>26.25</v>
      </c>
      <c r="X142" s="83">
        <f t="shared" si="23"/>
        <v>14.583</v>
      </c>
      <c r="Y142" s="201"/>
      <c r="Z142" s="203"/>
    </row>
    <row r="143" spans="1:26" s="69" customFormat="1" ht="15">
      <c r="A143" s="200"/>
      <c r="B143" s="261" t="s">
        <v>49</v>
      </c>
      <c r="C143" s="28" t="s">
        <v>11</v>
      </c>
      <c r="D143" s="99">
        <v>6.92</v>
      </c>
      <c r="E143" s="34">
        <v>1.44</v>
      </c>
      <c r="F143" s="14">
        <v>120</v>
      </c>
      <c r="G143" s="19">
        <f t="shared" si="21"/>
        <v>5.48</v>
      </c>
      <c r="H143" s="93">
        <v>0</v>
      </c>
      <c r="I143" s="30">
        <f>1.05*16</f>
        <v>16.8</v>
      </c>
      <c r="J143" s="30">
        <f t="shared" si="20"/>
        <v>11.32</v>
      </c>
      <c r="K143" s="208"/>
      <c r="L143" s="204"/>
      <c r="M143" s="104"/>
      <c r="N143" s="200"/>
      <c r="O143" s="261" t="s">
        <v>49</v>
      </c>
      <c r="P143" s="65" t="s">
        <v>0</v>
      </c>
      <c r="Q143" s="146">
        <v>0</v>
      </c>
      <c r="R143" s="34">
        <f>Q143+Костромаэнерго!D143</f>
        <v>6.92</v>
      </c>
      <c r="S143" s="34">
        <v>1.44</v>
      </c>
      <c r="T143" s="14">
        <v>120</v>
      </c>
      <c r="U143" s="50">
        <f t="shared" si="22"/>
        <v>5.48</v>
      </c>
      <c r="V143" s="51">
        <v>0</v>
      </c>
      <c r="W143" s="30">
        <f>1.05*25</f>
        <v>26.25</v>
      </c>
      <c r="X143" s="83">
        <f t="shared" si="23"/>
        <v>20.77</v>
      </c>
      <c r="Y143" s="201"/>
      <c r="Z143" s="204"/>
    </row>
    <row r="144" spans="1:26" s="69" customFormat="1" ht="27.75" customHeight="1">
      <c r="A144" s="198">
        <v>109</v>
      </c>
      <c r="B144" s="31" t="s">
        <v>97</v>
      </c>
      <c r="C144" s="28" t="s">
        <v>15</v>
      </c>
      <c r="D144" s="99">
        <v>6.48</v>
      </c>
      <c r="E144" s="95">
        <f>E146+E145</f>
        <v>0</v>
      </c>
      <c r="F144" s="14">
        <v>0</v>
      </c>
      <c r="G144" s="19">
        <f t="shared" si="21"/>
        <v>6.48</v>
      </c>
      <c r="H144" s="93">
        <v>0</v>
      </c>
      <c r="I144" s="30">
        <f>1.05*10</f>
        <v>10.5</v>
      </c>
      <c r="J144" s="30">
        <f t="shared" si="20"/>
        <v>4.02</v>
      </c>
      <c r="K144" s="206">
        <f>MIN(J144:J146)</f>
        <v>4.02</v>
      </c>
      <c r="L144" s="203" t="str">
        <f>IF(K144&lt;0,"closed","opened")</f>
        <v>opened</v>
      </c>
      <c r="M144" s="104"/>
      <c r="N144" s="198">
        <v>109</v>
      </c>
      <c r="O144" s="31" t="s">
        <v>97</v>
      </c>
      <c r="P144" s="65" t="s">
        <v>15</v>
      </c>
      <c r="Q144" s="146">
        <v>2.908</v>
      </c>
      <c r="R144" s="34">
        <f>Q144+Костромаэнерго!D144</f>
        <v>9.388</v>
      </c>
      <c r="S144" s="101">
        <f>S146+S145</f>
        <v>0</v>
      </c>
      <c r="T144" s="14">
        <v>0</v>
      </c>
      <c r="U144" s="50">
        <f t="shared" si="22"/>
        <v>9.388</v>
      </c>
      <c r="V144" s="51">
        <v>0</v>
      </c>
      <c r="W144" s="30">
        <f>1.05*10</f>
        <v>10.5</v>
      </c>
      <c r="X144" s="83">
        <f t="shared" si="23"/>
        <v>1.112</v>
      </c>
      <c r="Y144" s="201">
        <f>MIN(X144:X146)</f>
        <v>1.112</v>
      </c>
      <c r="Z144" s="203" t="str">
        <f>IF(Y144&lt;0,"closed","opened")</f>
        <v>opened</v>
      </c>
    </row>
    <row r="145" spans="1:26" s="69" customFormat="1" ht="15">
      <c r="A145" s="199"/>
      <c r="B145" s="261" t="s">
        <v>48</v>
      </c>
      <c r="C145" s="28" t="s">
        <v>15</v>
      </c>
      <c r="D145" s="99">
        <v>0.62</v>
      </c>
      <c r="E145" s="34">
        <v>0</v>
      </c>
      <c r="F145" s="14">
        <v>0</v>
      </c>
      <c r="G145" s="19">
        <f t="shared" si="21"/>
        <v>0.62</v>
      </c>
      <c r="H145" s="93">
        <v>0</v>
      </c>
      <c r="I145" s="30">
        <f>1.05*10</f>
        <v>10.5</v>
      </c>
      <c r="J145" s="30">
        <f>I145-D145</f>
        <v>9.88</v>
      </c>
      <c r="K145" s="207"/>
      <c r="L145" s="203"/>
      <c r="M145" s="104"/>
      <c r="N145" s="199"/>
      <c r="O145" s="261" t="s">
        <v>48</v>
      </c>
      <c r="P145" s="65" t="s">
        <v>15</v>
      </c>
      <c r="Q145" s="158">
        <v>0</v>
      </c>
      <c r="R145" s="34">
        <f>Q145+Костромаэнерго!D145</f>
        <v>0.62</v>
      </c>
      <c r="S145" s="34">
        <v>0</v>
      </c>
      <c r="T145" s="14">
        <v>0</v>
      </c>
      <c r="U145" s="50">
        <f t="shared" si="22"/>
        <v>0.62</v>
      </c>
      <c r="V145" s="51">
        <v>0</v>
      </c>
      <c r="W145" s="30">
        <f>1.05*10</f>
        <v>10.5</v>
      </c>
      <c r="X145" s="83">
        <f t="shared" si="23"/>
        <v>9.88</v>
      </c>
      <c r="Y145" s="201"/>
      <c r="Z145" s="203"/>
    </row>
    <row r="146" spans="1:26" s="69" customFormat="1" ht="15">
      <c r="A146" s="200"/>
      <c r="B146" s="261" t="s">
        <v>49</v>
      </c>
      <c r="C146" s="28" t="s">
        <v>15</v>
      </c>
      <c r="D146" s="99">
        <v>5.86</v>
      </c>
      <c r="E146" s="34">
        <v>0</v>
      </c>
      <c r="F146" s="14">
        <v>0</v>
      </c>
      <c r="G146" s="19">
        <f t="shared" si="21"/>
        <v>5.86</v>
      </c>
      <c r="H146" s="93">
        <v>0</v>
      </c>
      <c r="I146" s="30">
        <f>1.05*10</f>
        <v>10.5</v>
      </c>
      <c r="J146" s="30">
        <f t="shared" si="20"/>
        <v>4.64</v>
      </c>
      <c r="K146" s="208"/>
      <c r="L146" s="203"/>
      <c r="M146" s="104"/>
      <c r="N146" s="200"/>
      <c r="O146" s="261" t="s">
        <v>49</v>
      </c>
      <c r="P146" s="65" t="s">
        <v>15</v>
      </c>
      <c r="Q146" s="146">
        <v>2.908</v>
      </c>
      <c r="R146" s="34">
        <f>Q146+Костромаэнерго!D146</f>
        <v>8.768</v>
      </c>
      <c r="S146" s="34">
        <v>0</v>
      </c>
      <c r="T146" s="14">
        <v>0</v>
      </c>
      <c r="U146" s="50">
        <f t="shared" si="22"/>
        <v>8.768</v>
      </c>
      <c r="V146" s="51">
        <v>0</v>
      </c>
      <c r="W146" s="30">
        <f>1.05*10</f>
        <v>10.5</v>
      </c>
      <c r="X146" s="83">
        <f t="shared" si="23"/>
        <v>1.7319999999999993</v>
      </c>
      <c r="Y146" s="201"/>
      <c r="Z146" s="203"/>
    </row>
    <row r="147" spans="1:26" s="69" customFormat="1" ht="25.5">
      <c r="A147" s="73">
        <v>110</v>
      </c>
      <c r="B147" s="31" t="s">
        <v>98</v>
      </c>
      <c r="C147" s="28" t="s">
        <v>18</v>
      </c>
      <c r="D147" s="131">
        <v>0.76</v>
      </c>
      <c r="E147" s="34">
        <v>0.82</v>
      </c>
      <c r="F147" s="14">
        <v>120</v>
      </c>
      <c r="G147" s="19">
        <f t="shared" si="21"/>
        <v>-0.05999999999999994</v>
      </c>
      <c r="H147" s="93">
        <v>0</v>
      </c>
      <c r="I147" s="30">
        <f>1.05*2.5</f>
        <v>2.625</v>
      </c>
      <c r="J147" s="30">
        <f t="shared" si="20"/>
        <v>2.685</v>
      </c>
      <c r="K147" s="33">
        <f>J147</f>
        <v>2.685</v>
      </c>
      <c r="L147" s="84" t="str">
        <f>IF(K147&lt;0,"closed","opened")</f>
        <v>opened</v>
      </c>
      <c r="M147" s="104"/>
      <c r="N147" s="73">
        <v>110</v>
      </c>
      <c r="O147" s="31" t="s">
        <v>98</v>
      </c>
      <c r="P147" s="65" t="s">
        <v>18</v>
      </c>
      <c r="Q147" s="131">
        <v>0.145</v>
      </c>
      <c r="R147" s="34">
        <f>Q147+Костромаэнерго!D147</f>
        <v>0.905</v>
      </c>
      <c r="S147" s="34">
        <v>0.82</v>
      </c>
      <c r="T147" s="14">
        <v>120</v>
      </c>
      <c r="U147" s="50">
        <f t="shared" si="22"/>
        <v>0.08500000000000008</v>
      </c>
      <c r="V147" s="51">
        <v>0</v>
      </c>
      <c r="W147" s="30">
        <f>1.05*2.5</f>
        <v>2.625</v>
      </c>
      <c r="X147" s="83">
        <f t="shared" si="23"/>
        <v>2.54</v>
      </c>
      <c r="Y147" s="82">
        <f>X147</f>
        <v>2.54</v>
      </c>
      <c r="Z147" s="84" t="str">
        <f>IF(Y147&lt;0,"closed","opened")</f>
        <v>opened</v>
      </c>
    </row>
    <row r="148" spans="1:26" s="69" customFormat="1" ht="25.5" customHeight="1">
      <c r="A148" s="198">
        <v>111</v>
      </c>
      <c r="B148" s="31" t="s">
        <v>99</v>
      </c>
      <c r="C148" s="28" t="s">
        <v>19</v>
      </c>
      <c r="D148" s="131">
        <v>1.87</v>
      </c>
      <c r="E148" s="132">
        <f>E150+E149</f>
        <v>0</v>
      </c>
      <c r="F148" s="14">
        <v>0</v>
      </c>
      <c r="G148" s="16">
        <f t="shared" si="21"/>
        <v>1.87</v>
      </c>
      <c r="H148" s="93">
        <v>0</v>
      </c>
      <c r="I148" s="30">
        <f>1.05*4</f>
        <v>4.2</v>
      </c>
      <c r="J148" s="30">
        <f t="shared" si="20"/>
        <v>2.33</v>
      </c>
      <c r="K148" s="206">
        <f>MIN(J148:J150)</f>
        <v>2.33</v>
      </c>
      <c r="L148" s="202" t="str">
        <f>IF(K148&lt;0,"closed","opened")</f>
        <v>opened</v>
      </c>
      <c r="M148" s="104"/>
      <c r="N148" s="198">
        <v>111</v>
      </c>
      <c r="O148" s="31" t="s">
        <v>99</v>
      </c>
      <c r="P148" s="65" t="s">
        <v>19</v>
      </c>
      <c r="Q148" s="146">
        <v>0.296</v>
      </c>
      <c r="R148" s="34">
        <f>Q148+Костромаэнерго!D148</f>
        <v>2.166</v>
      </c>
      <c r="S148" s="101">
        <f>S150+S149</f>
        <v>0</v>
      </c>
      <c r="T148" s="14">
        <v>120</v>
      </c>
      <c r="U148" s="50">
        <f t="shared" si="22"/>
        <v>2.166</v>
      </c>
      <c r="V148" s="51">
        <v>0</v>
      </c>
      <c r="W148" s="30">
        <f>1.05*4</f>
        <v>4.2</v>
      </c>
      <c r="X148" s="83">
        <f t="shared" si="23"/>
        <v>2.0340000000000003</v>
      </c>
      <c r="Y148" s="201">
        <f>MIN(X148:X150)</f>
        <v>2.0340000000000003</v>
      </c>
      <c r="Z148" s="202" t="str">
        <f>IF(Y148&lt;0,"closed","opened")</f>
        <v>opened</v>
      </c>
    </row>
    <row r="149" spans="1:26" s="69" customFormat="1" ht="15">
      <c r="A149" s="199"/>
      <c r="B149" s="261" t="s">
        <v>48</v>
      </c>
      <c r="C149" s="28" t="s">
        <v>19</v>
      </c>
      <c r="D149" s="133">
        <v>1.87</v>
      </c>
      <c r="E149" s="34">
        <v>0</v>
      </c>
      <c r="F149" s="14">
        <v>0</v>
      </c>
      <c r="G149" s="16">
        <f t="shared" si="21"/>
        <v>1.87</v>
      </c>
      <c r="H149" s="93">
        <v>0</v>
      </c>
      <c r="I149" s="30">
        <f>1.05*4</f>
        <v>4.2</v>
      </c>
      <c r="J149" s="30">
        <f>I149-D149</f>
        <v>2.33</v>
      </c>
      <c r="K149" s="207"/>
      <c r="L149" s="203"/>
      <c r="M149" s="104"/>
      <c r="N149" s="199"/>
      <c r="O149" s="261" t="s">
        <v>48</v>
      </c>
      <c r="P149" s="65" t="s">
        <v>19</v>
      </c>
      <c r="Q149" s="140">
        <v>0</v>
      </c>
      <c r="R149" s="34">
        <f>Q149+Костромаэнерго!D149</f>
        <v>1.87</v>
      </c>
      <c r="S149" s="34">
        <v>0</v>
      </c>
      <c r="T149" s="14">
        <v>120</v>
      </c>
      <c r="U149" s="50">
        <f t="shared" si="22"/>
        <v>1.87</v>
      </c>
      <c r="V149" s="51">
        <v>0</v>
      </c>
      <c r="W149" s="30">
        <f>1.05*4</f>
        <v>4.2</v>
      </c>
      <c r="X149" s="83">
        <f t="shared" si="23"/>
        <v>2.33</v>
      </c>
      <c r="Y149" s="201"/>
      <c r="Z149" s="203"/>
    </row>
    <row r="150" spans="1:26" s="69" customFormat="1" ht="15">
      <c r="A150" s="200"/>
      <c r="B150" s="261" t="s">
        <v>49</v>
      </c>
      <c r="C150" s="28" t="s">
        <v>19</v>
      </c>
      <c r="D150" s="99">
        <v>0</v>
      </c>
      <c r="E150" s="34">
        <v>0</v>
      </c>
      <c r="F150" s="14">
        <v>0</v>
      </c>
      <c r="G150" s="15">
        <f t="shared" si="21"/>
        <v>0</v>
      </c>
      <c r="H150" s="93">
        <v>0</v>
      </c>
      <c r="I150" s="30">
        <f>1.05*4</f>
        <v>4.2</v>
      </c>
      <c r="J150" s="30">
        <f t="shared" si="20"/>
        <v>4.2</v>
      </c>
      <c r="K150" s="208"/>
      <c r="L150" s="203"/>
      <c r="M150" s="104"/>
      <c r="N150" s="200"/>
      <c r="O150" s="261" t="s">
        <v>49</v>
      </c>
      <c r="P150" s="65" t="s">
        <v>19</v>
      </c>
      <c r="Q150" s="140">
        <v>0.296</v>
      </c>
      <c r="R150" s="34">
        <f>Q150+Костромаэнерго!D150</f>
        <v>0.296</v>
      </c>
      <c r="S150" s="34">
        <v>0</v>
      </c>
      <c r="T150" s="14">
        <v>120</v>
      </c>
      <c r="U150" s="50">
        <f t="shared" si="22"/>
        <v>0.296</v>
      </c>
      <c r="V150" s="51">
        <v>0</v>
      </c>
      <c r="W150" s="30">
        <f>1.05*4</f>
        <v>4.2</v>
      </c>
      <c r="X150" s="83">
        <f t="shared" si="23"/>
        <v>3.9040000000000004</v>
      </c>
      <c r="Y150" s="201"/>
      <c r="Z150" s="203"/>
    </row>
    <row r="151" spans="1:26" s="69" customFormat="1" ht="25.5">
      <c r="A151" s="73">
        <v>112</v>
      </c>
      <c r="B151" s="31" t="s">
        <v>100</v>
      </c>
      <c r="C151" s="28" t="s">
        <v>14</v>
      </c>
      <c r="D151" s="119">
        <v>6.25</v>
      </c>
      <c r="E151" s="34">
        <v>1.2</v>
      </c>
      <c r="F151" s="14">
        <v>120</v>
      </c>
      <c r="G151" s="19">
        <f t="shared" si="21"/>
        <v>5.05</v>
      </c>
      <c r="H151" s="93">
        <v>0</v>
      </c>
      <c r="I151" s="30">
        <f>1.05*6.3</f>
        <v>6.615</v>
      </c>
      <c r="J151" s="30">
        <f t="shared" si="20"/>
        <v>1.5650000000000004</v>
      </c>
      <c r="K151" s="33">
        <f aca="true" t="shared" si="24" ref="K151:K156">J151</f>
        <v>1.5650000000000004</v>
      </c>
      <c r="L151" s="84" t="str">
        <f>IF(K151&lt;0,"closed","opened")</f>
        <v>opened</v>
      </c>
      <c r="M151" s="104"/>
      <c r="N151" s="73">
        <v>112</v>
      </c>
      <c r="O151" s="31" t="s">
        <v>100</v>
      </c>
      <c r="P151" s="65" t="s">
        <v>14</v>
      </c>
      <c r="Q151" s="131">
        <v>0.493</v>
      </c>
      <c r="R151" s="34">
        <f>Q151+Костромаэнерго!D151</f>
        <v>6.743</v>
      </c>
      <c r="S151" s="34">
        <v>1.2</v>
      </c>
      <c r="T151" s="14">
        <v>120</v>
      </c>
      <c r="U151" s="50">
        <f t="shared" si="22"/>
        <v>5.543</v>
      </c>
      <c r="V151" s="51">
        <v>0</v>
      </c>
      <c r="W151" s="30">
        <f>1.05*6.3</f>
        <v>6.615</v>
      </c>
      <c r="X151" s="83">
        <f t="shared" si="23"/>
        <v>1.072</v>
      </c>
      <c r="Y151" s="82">
        <f aca="true" t="shared" si="25" ref="Y151:Y156">X151</f>
        <v>1.072</v>
      </c>
      <c r="Z151" s="84" t="str">
        <f>IF(Y151&lt;0,"closed","opened")</f>
        <v>opened</v>
      </c>
    </row>
    <row r="152" spans="1:26" s="69" customFormat="1" ht="25.5">
      <c r="A152" s="73">
        <v>113</v>
      </c>
      <c r="B152" s="31" t="s">
        <v>101</v>
      </c>
      <c r="C152" s="28" t="s">
        <v>2</v>
      </c>
      <c r="D152" s="119">
        <v>5.08</v>
      </c>
      <c r="E152" s="34">
        <v>2.63</v>
      </c>
      <c r="F152" s="14">
        <v>120</v>
      </c>
      <c r="G152" s="16">
        <f t="shared" si="21"/>
        <v>2.45</v>
      </c>
      <c r="H152" s="93">
        <v>0</v>
      </c>
      <c r="I152" s="30">
        <f>1.05*10</f>
        <v>10.5</v>
      </c>
      <c r="J152" s="30">
        <f t="shared" si="20"/>
        <v>8.05</v>
      </c>
      <c r="K152" s="33">
        <f t="shared" si="24"/>
        <v>8.05</v>
      </c>
      <c r="L152" s="18" t="str">
        <f>IF(K152&lt;0,"closed","opened")</f>
        <v>opened</v>
      </c>
      <c r="M152" s="104"/>
      <c r="N152" s="73">
        <v>113</v>
      </c>
      <c r="O152" s="31" t="s">
        <v>101</v>
      </c>
      <c r="P152" s="65" t="s">
        <v>2</v>
      </c>
      <c r="Q152" s="131">
        <v>0.03</v>
      </c>
      <c r="R152" s="34">
        <f>Q152+Костромаэнерго!D152</f>
        <v>5.11</v>
      </c>
      <c r="S152" s="34">
        <v>2.63</v>
      </c>
      <c r="T152" s="14">
        <v>120</v>
      </c>
      <c r="U152" s="50">
        <f t="shared" si="22"/>
        <v>2.4800000000000004</v>
      </c>
      <c r="V152" s="51">
        <v>0</v>
      </c>
      <c r="W152" s="30">
        <f>1.05*10</f>
        <v>10.5</v>
      </c>
      <c r="X152" s="83">
        <f t="shared" si="23"/>
        <v>8.02</v>
      </c>
      <c r="Y152" s="82">
        <f t="shared" si="25"/>
        <v>8.02</v>
      </c>
      <c r="Z152" s="84" t="str">
        <f>IF(Y152&lt;0,"closed","opened")</f>
        <v>opened</v>
      </c>
    </row>
    <row r="153" spans="1:26" s="69" customFormat="1" ht="25.5">
      <c r="A153" s="73">
        <v>114</v>
      </c>
      <c r="B153" s="31" t="s">
        <v>102</v>
      </c>
      <c r="C153" s="28" t="s">
        <v>6</v>
      </c>
      <c r="D153" s="119">
        <v>0.46</v>
      </c>
      <c r="E153" s="34">
        <v>0.06</v>
      </c>
      <c r="F153" s="14">
        <v>120</v>
      </c>
      <c r="G153" s="15">
        <f t="shared" si="21"/>
        <v>0.4</v>
      </c>
      <c r="H153" s="93">
        <v>0</v>
      </c>
      <c r="I153" s="30">
        <f>1.05*1.6</f>
        <v>1.6800000000000002</v>
      </c>
      <c r="J153" s="30">
        <f t="shared" si="20"/>
        <v>1.2800000000000002</v>
      </c>
      <c r="K153" s="33">
        <f t="shared" si="24"/>
        <v>1.2800000000000002</v>
      </c>
      <c r="L153" s="74" t="str">
        <f>IF(K153&lt;0,"closed","opened")</f>
        <v>opened</v>
      </c>
      <c r="M153" s="104"/>
      <c r="N153" s="73">
        <v>114</v>
      </c>
      <c r="O153" s="31" t="s">
        <v>102</v>
      </c>
      <c r="P153" s="65" t="s">
        <v>6</v>
      </c>
      <c r="Q153" s="131">
        <v>0.023</v>
      </c>
      <c r="R153" s="34">
        <f>Q153+Костромаэнерго!D153</f>
        <v>0.48300000000000004</v>
      </c>
      <c r="S153" s="34">
        <v>0.06</v>
      </c>
      <c r="T153" s="14">
        <v>120</v>
      </c>
      <c r="U153" s="50">
        <f t="shared" si="22"/>
        <v>0.42300000000000004</v>
      </c>
      <c r="V153" s="51">
        <v>0</v>
      </c>
      <c r="W153" s="30">
        <f>1.05*1.6</f>
        <v>1.6800000000000002</v>
      </c>
      <c r="X153" s="83">
        <f t="shared" si="23"/>
        <v>1.2570000000000001</v>
      </c>
      <c r="Y153" s="82">
        <f t="shared" si="25"/>
        <v>1.2570000000000001</v>
      </c>
      <c r="Z153" s="84" t="str">
        <f>IF(Y153&lt;0,"closed","opened")</f>
        <v>opened</v>
      </c>
    </row>
    <row r="154" spans="1:26" s="69" customFormat="1" ht="25.5">
      <c r="A154" s="73">
        <v>115</v>
      </c>
      <c r="B154" s="31" t="s">
        <v>103</v>
      </c>
      <c r="C154" s="28" t="s">
        <v>10</v>
      </c>
      <c r="D154" s="119">
        <v>0.23</v>
      </c>
      <c r="E154" s="34">
        <v>0.26</v>
      </c>
      <c r="F154" s="14">
        <v>120</v>
      </c>
      <c r="G154" s="16">
        <f t="shared" si="21"/>
        <v>-0.03</v>
      </c>
      <c r="H154" s="93">
        <v>0</v>
      </c>
      <c r="I154" s="30">
        <f>1.05*1</f>
        <v>1.05</v>
      </c>
      <c r="J154" s="30">
        <f t="shared" si="20"/>
        <v>1.08</v>
      </c>
      <c r="K154" s="33">
        <f t="shared" si="24"/>
        <v>1.08</v>
      </c>
      <c r="L154" s="18" t="str">
        <f>IF(K154&lt;0,"closed","opened")</f>
        <v>opened</v>
      </c>
      <c r="M154" s="104"/>
      <c r="N154" s="73">
        <v>115</v>
      </c>
      <c r="O154" s="31" t="s">
        <v>103</v>
      </c>
      <c r="P154" s="65" t="s">
        <v>10</v>
      </c>
      <c r="Q154" s="131">
        <v>0</v>
      </c>
      <c r="R154" s="34">
        <f>Q154+Костромаэнерго!D154</f>
        <v>0.23</v>
      </c>
      <c r="S154" s="34">
        <v>0.26</v>
      </c>
      <c r="T154" s="14">
        <v>120</v>
      </c>
      <c r="U154" s="50">
        <f t="shared" si="22"/>
        <v>-0.03</v>
      </c>
      <c r="V154" s="51">
        <v>0</v>
      </c>
      <c r="W154" s="30">
        <f>1.05*1</f>
        <v>1.05</v>
      </c>
      <c r="X154" s="83">
        <f t="shared" si="23"/>
        <v>1.08</v>
      </c>
      <c r="Y154" s="82">
        <f t="shared" si="25"/>
        <v>1.08</v>
      </c>
      <c r="Z154" s="84" t="str">
        <f>IF(Y154&lt;0,"closed","opened")</f>
        <v>opened</v>
      </c>
    </row>
    <row r="155" spans="1:26" s="69" customFormat="1" ht="25.5">
      <c r="A155" s="73">
        <v>116</v>
      </c>
      <c r="B155" s="31" t="s">
        <v>104</v>
      </c>
      <c r="C155" s="28" t="s">
        <v>20</v>
      </c>
      <c r="D155" s="119">
        <v>0.2</v>
      </c>
      <c r="E155" s="34">
        <v>0.12</v>
      </c>
      <c r="F155" s="14">
        <v>120</v>
      </c>
      <c r="G155" s="16">
        <f t="shared" si="21"/>
        <v>0.08000000000000002</v>
      </c>
      <c r="H155" s="93">
        <v>0</v>
      </c>
      <c r="I155" s="30">
        <f>1.05*1.6</f>
        <v>1.6800000000000002</v>
      </c>
      <c r="J155" s="30">
        <f t="shared" si="20"/>
        <v>1.6</v>
      </c>
      <c r="K155" s="33">
        <f t="shared" si="24"/>
        <v>1.6</v>
      </c>
      <c r="L155" s="74" t="str">
        <f>IF(K155&lt;0,"closed","opened")</f>
        <v>opened</v>
      </c>
      <c r="M155" s="104"/>
      <c r="N155" s="73">
        <v>116</v>
      </c>
      <c r="O155" s="31" t="s">
        <v>104</v>
      </c>
      <c r="P155" s="65" t="s">
        <v>20</v>
      </c>
      <c r="Q155" s="131">
        <v>0.001</v>
      </c>
      <c r="R155" s="34">
        <f>Q155+Костромаэнерго!D155</f>
        <v>0.201</v>
      </c>
      <c r="S155" s="34">
        <v>0.12</v>
      </c>
      <c r="T155" s="14">
        <v>120</v>
      </c>
      <c r="U155" s="50">
        <f t="shared" si="22"/>
        <v>0.08100000000000002</v>
      </c>
      <c r="V155" s="51">
        <v>0</v>
      </c>
      <c r="W155" s="30">
        <f>1.05*1.6</f>
        <v>1.6800000000000002</v>
      </c>
      <c r="X155" s="83">
        <f t="shared" si="23"/>
        <v>1.5990000000000002</v>
      </c>
      <c r="Y155" s="82">
        <f t="shared" si="25"/>
        <v>1.5990000000000002</v>
      </c>
      <c r="Z155" s="84" t="str">
        <f>IF(Y155&lt;0,"closed","opened")</f>
        <v>opened</v>
      </c>
    </row>
    <row r="156" spans="1:26" s="69" customFormat="1" ht="25.5">
      <c r="A156" s="73">
        <v>117</v>
      </c>
      <c r="B156" s="31" t="s">
        <v>105</v>
      </c>
      <c r="C156" s="28" t="s">
        <v>10</v>
      </c>
      <c r="D156" s="119">
        <v>0.29</v>
      </c>
      <c r="E156" s="34">
        <v>0.06</v>
      </c>
      <c r="F156" s="14">
        <v>120</v>
      </c>
      <c r="G156" s="15">
        <f t="shared" si="21"/>
        <v>0.22999999999999998</v>
      </c>
      <c r="H156" s="93">
        <v>0</v>
      </c>
      <c r="I156" s="30">
        <f>1.05*1</f>
        <v>1.05</v>
      </c>
      <c r="J156" s="30">
        <f t="shared" si="20"/>
        <v>0.8200000000000001</v>
      </c>
      <c r="K156" s="33">
        <f t="shared" si="24"/>
        <v>0.8200000000000001</v>
      </c>
      <c r="L156" s="18" t="str">
        <f>IF(K156&lt;0,"closed","opened")</f>
        <v>opened</v>
      </c>
      <c r="M156" s="104"/>
      <c r="N156" s="73">
        <v>117</v>
      </c>
      <c r="O156" s="31" t="s">
        <v>105</v>
      </c>
      <c r="P156" s="65" t="s">
        <v>10</v>
      </c>
      <c r="Q156" s="131">
        <v>0.012</v>
      </c>
      <c r="R156" s="34">
        <f>Q156+Костромаэнерго!D156</f>
        <v>0.302</v>
      </c>
      <c r="S156" s="34">
        <v>0.06</v>
      </c>
      <c r="T156" s="14">
        <v>120</v>
      </c>
      <c r="U156" s="50">
        <f t="shared" si="22"/>
        <v>0.242</v>
      </c>
      <c r="V156" s="51">
        <v>0</v>
      </c>
      <c r="W156" s="30">
        <f>1.05*1</f>
        <v>1.05</v>
      </c>
      <c r="X156" s="83">
        <f t="shared" si="23"/>
        <v>0.808</v>
      </c>
      <c r="Y156" s="82">
        <f t="shared" si="25"/>
        <v>0.808</v>
      </c>
      <c r="Z156" s="84" t="str">
        <f>IF(Y156&lt;0,"closed","opened")</f>
        <v>opened</v>
      </c>
    </row>
    <row r="157" spans="1:26" s="69" customFormat="1" ht="25.5">
      <c r="A157" s="198">
        <v>118</v>
      </c>
      <c r="B157" s="31" t="s">
        <v>106</v>
      </c>
      <c r="C157" s="28" t="s">
        <v>14</v>
      </c>
      <c r="D157" s="119">
        <v>2.93</v>
      </c>
      <c r="E157" s="95">
        <f>E159+E158</f>
        <v>0.64</v>
      </c>
      <c r="F157" s="14">
        <v>120</v>
      </c>
      <c r="G157" s="19">
        <f t="shared" si="21"/>
        <v>2.29</v>
      </c>
      <c r="H157" s="93">
        <v>0</v>
      </c>
      <c r="I157" s="30">
        <f aca="true" t="shared" si="26" ref="I157:I162">1.05*6.3</f>
        <v>6.615</v>
      </c>
      <c r="J157" s="30">
        <f t="shared" si="20"/>
        <v>4.325</v>
      </c>
      <c r="K157" s="206">
        <f>MIN(J157:J159)</f>
        <v>4.325</v>
      </c>
      <c r="L157" s="202" t="str">
        <f>IF(K157&lt;0,"closed","opened")</f>
        <v>opened</v>
      </c>
      <c r="M157" s="104"/>
      <c r="N157" s="198">
        <v>118</v>
      </c>
      <c r="O157" s="31" t="s">
        <v>106</v>
      </c>
      <c r="P157" s="65" t="s">
        <v>14</v>
      </c>
      <c r="Q157" s="146">
        <v>0.636</v>
      </c>
      <c r="R157" s="34">
        <f>Q157+Костромаэнерго!D157</f>
        <v>3.5660000000000003</v>
      </c>
      <c r="S157" s="101">
        <f>S159+S158</f>
        <v>0.64</v>
      </c>
      <c r="T157" s="14">
        <v>120</v>
      </c>
      <c r="U157" s="50">
        <f t="shared" si="22"/>
        <v>2.926</v>
      </c>
      <c r="V157" s="51">
        <v>0</v>
      </c>
      <c r="W157" s="30">
        <f aca="true" t="shared" si="27" ref="W157:W162">1.05*6.3</f>
        <v>6.615</v>
      </c>
      <c r="X157" s="83">
        <f t="shared" si="23"/>
        <v>3.689</v>
      </c>
      <c r="Y157" s="201">
        <f>MIN(X157:X159)</f>
        <v>3.689</v>
      </c>
      <c r="Z157" s="202" t="str">
        <f>IF(Y157&lt;0,"closed","opened")</f>
        <v>opened</v>
      </c>
    </row>
    <row r="158" spans="1:26" s="69" customFormat="1" ht="15">
      <c r="A158" s="199"/>
      <c r="B158" s="261" t="s">
        <v>48</v>
      </c>
      <c r="C158" s="28" t="s">
        <v>14</v>
      </c>
      <c r="D158" s="118">
        <v>1.83</v>
      </c>
      <c r="E158" s="34">
        <v>0</v>
      </c>
      <c r="F158" s="14">
        <v>120</v>
      </c>
      <c r="G158" s="19">
        <f t="shared" si="21"/>
        <v>1.83</v>
      </c>
      <c r="H158" s="93">
        <v>0</v>
      </c>
      <c r="I158" s="30">
        <f t="shared" si="26"/>
        <v>6.615</v>
      </c>
      <c r="J158" s="30">
        <f>I158-D158</f>
        <v>4.785</v>
      </c>
      <c r="K158" s="207"/>
      <c r="L158" s="203"/>
      <c r="M158" s="104"/>
      <c r="N158" s="199"/>
      <c r="O158" s="261" t="s">
        <v>48</v>
      </c>
      <c r="P158" s="65" t="s">
        <v>14</v>
      </c>
      <c r="Q158" s="158">
        <v>0</v>
      </c>
      <c r="R158" s="34">
        <f>Q158+Костромаэнерго!D158</f>
        <v>1.83</v>
      </c>
      <c r="S158" s="34">
        <v>0</v>
      </c>
      <c r="T158" s="14">
        <v>120</v>
      </c>
      <c r="U158" s="50">
        <f t="shared" si="22"/>
        <v>1.83</v>
      </c>
      <c r="V158" s="51">
        <v>0</v>
      </c>
      <c r="W158" s="30">
        <f t="shared" si="27"/>
        <v>6.615</v>
      </c>
      <c r="X158" s="83">
        <f t="shared" si="23"/>
        <v>4.785</v>
      </c>
      <c r="Y158" s="201"/>
      <c r="Z158" s="203"/>
    </row>
    <row r="159" spans="1:26" s="69" customFormat="1" ht="15">
      <c r="A159" s="200"/>
      <c r="B159" s="261" t="s">
        <v>49</v>
      </c>
      <c r="C159" s="28" t="s">
        <v>14</v>
      </c>
      <c r="D159" s="99">
        <v>1.1</v>
      </c>
      <c r="E159" s="34">
        <v>0.64</v>
      </c>
      <c r="F159" s="14">
        <v>120</v>
      </c>
      <c r="G159" s="19">
        <f t="shared" si="21"/>
        <v>0.4600000000000001</v>
      </c>
      <c r="H159" s="93">
        <v>0</v>
      </c>
      <c r="I159" s="30">
        <f t="shared" si="26"/>
        <v>6.615</v>
      </c>
      <c r="J159" s="30">
        <f t="shared" si="20"/>
        <v>6.155</v>
      </c>
      <c r="K159" s="208"/>
      <c r="L159" s="204"/>
      <c r="M159" s="104"/>
      <c r="N159" s="200"/>
      <c r="O159" s="261" t="s">
        <v>49</v>
      </c>
      <c r="P159" s="65" t="s">
        <v>14</v>
      </c>
      <c r="Q159" s="146">
        <v>0.636</v>
      </c>
      <c r="R159" s="34">
        <f>Q159+Костромаэнерго!D159</f>
        <v>1.7360000000000002</v>
      </c>
      <c r="S159" s="34">
        <v>0.64</v>
      </c>
      <c r="T159" s="14">
        <v>120</v>
      </c>
      <c r="U159" s="50">
        <f t="shared" si="22"/>
        <v>1.096</v>
      </c>
      <c r="V159" s="51">
        <v>0</v>
      </c>
      <c r="W159" s="30">
        <f t="shared" si="27"/>
        <v>6.615</v>
      </c>
      <c r="X159" s="83">
        <f t="shared" si="23"/>
        <v>5.519</v>
      </c>
      <c r="Y159" s="201"/>
      <c r="Z159" s="204"/>
    </row>
    <row r="160" spans="1:26" s="69" customFormat="1" ht="25.5">
      <c r="A160" s="198">
        <v>119</v>
      </c>
      <c r="B160" s="31" t="s">
        <v>107</v>
      </c>
      <c r="C160" s="28" t="s">
        <v>14</v>
      </c>
      <c r="D160" s="99">
        <v>1.36</v>
      </c>
      <c r="E160" s="95">
        <f>E162+E161</f>
        <v>0</v>
      </c>
      <c r="F160" s="14">
        <v>120</v>
      </c>
      <c r="G160" s="16">
        <f t="shared" si="21"/>
        <v>1.36</v>
      </c>
      <c r="H160" s="93">
        <v>0</v>
      </c>
      <c r="I160" s="30">
        <f t="shared" si="26"/>
        <v>6.615</v>
      </c>
      <c r="J160" s="30">
        <f t="shared" si="20"/>
        <v>5.255</v>
      </c>
      <c r="K160" s="206">
        <f>MIN(J160:J162)</f>
        <v>5.255</v>
      </c>
      <c r="L160" s="203" t="str">
        <f>IF(K160&lt;0,"closed","opened")</f>
        <v>opened</v>
      </c>
      <c r="M160" s="104"/>
      <c r="N160" s="198">
        <v>119</v>
      </c>
      <c r="O160" s="31" t="s">
        <v>107</v>
      </c>
      <c r="P160" s="65" t="s">
        <v>14</v>
      </c>
      <c r="Q160" s="146">
        <v>0.152</v>
      </c>
      <c r="R160" s="34">
        <f>Q160+Костромаэнерго!D160</f>
        <v>1.512</v>
      </c>
      <c r="S160" s="101">
        <f>S162+S161</f>
        <v>0</v>
      </c>
      <c r="T160" s="14">
        <v>120</v>
      </c>
      <c r="U160" s="50">
        <f t="shared" si="22"/>
        <v>1.512</v>
      </c>
      <c r="V160" s="51">
        <v>0</v>
      </c>
      <c r="W160" s="30">
        <f t="shared" si="27"/>
        <v>6.615</v>
      </c>
      <c r="X160" s="83">
        <f t="shared" si="23"/>
        <v>5.103</v>
      </c>
      <c r="Y160" s="201">
        <f>MIN(X160:X162)</f>
        <v>5.103</v>
      </c>
      <c r="Z160" s="203" t="str">
        <f>IF(Y160&lt;0,"closed","opened")</f>
        <v>opened</v>
      </c>
    </row>
    <row r="161" spans="1:26" s="69" customFormat="1" ht="15">
      <c r="A161" s="199"/>
      <c r="B161" s="261" t="s">
        <v>48</v>
      </c>
      <c r="C161" s="28" t="s">
        <v>14</v>
      </c>
      <c r="D161" s="99">
        <v>0.53</v>
      </c>
      <c r="E161" s="34">
        <v>0</v>
      </c>
      <c r="F161" s="14">
        <v>120</v>
      </c>
      <c r="G161" s="15">
        <f t="shared" si="21"/>
        <v>0.53</v>
      </c>
      <c r="H161" s="93">
        <v>0</v>
      </c>
      <c r="I161" s="30">
        <f t="shared" si="26"/>
        <v>6.615</v>
      </c>
      <c r="J161" s="30">
        <f>I161-D161</f>
        <v>6.085</v>
      </c>
      <c r="K161" s="207"/>
      <c r="L161" s="203"/>
      <c r="M161" s="104"/>
      <c r="N161" s="199"/>
      <c r="O161" s="261" t="s">
        <v>48</v>
      </c>
      <c r="P161" s="65" t="s">
        <v>14</v>
      </c>
      <c r="Q161" s="158">
        <v>0</v>
      </c>
      <c r="R161" s="34">
        <f>Q161+Костромаэнерго!D161</f>
        <v>0.53</v>
      </c>
      <c r="S161" s="34">
        <v>0</v>
      </c>
      <c r="T161" s="14">
        <v>120</v>
      </c>
      <c r="U161" s="50">
        <f t="shared" si="22"/>
        <v>0.53</v>
      </c>
      <c r="V161" s="51">
        <v>0</v>
      </c>
      <c r="W161" s="30">
        <f t="shared" si="27"/>
        <v>6.615</v>
      </c>
      <c r="X161" s="83">
        <f t="shared" si="23"/>
        <v>6.085</v>
      </c>
      <c r="Y161" s="201"/>
      <c r="Z161" s="203"/>
    </row>
    <row r="162" spans="1:26" s="69" customFormat="1" ht="15">
      <c r="A162" s="200"/>
      <c r="B162" s="261" t="s">
        <v>49</v>
      </c>
      <c r="C162" s="28" t="s">
        <v>14</v>
      </c>
      <c r="D162" s="99">
        <v>0.83</v>
      </c>
      <c r="E162" s="34">
        <v>0</v>
      </c>
      <c r="F162" s="14">
        <v>120</v>
      </c>
      <c r="G162" s="19">
        <f t="shared" si="21"/>
        <v>0.83</v>
      </c>
      <c r="H162" s="93">
        <v>0</v>
      </c>
      <c r="I162" s="30">
        <f t="shared" si="26"/>
        <v>6.615</v>
      </c>
      <c r="J162" s="30">
        <f t="shared" si="20"/>
        <v>5.785</v>
      </c>
      <c r="K162" s="208"/>
      <c r="L162" s="203"/>
      <c r="M162" s="104"/>
      <c r="N162" s="200"/>
      <c r="O162" s="261" t="s">
        <v>49</v>
      </c>
      <c r="P162" s="65" t="s">
        <v>14</v>
      </c>
      <c r="Q162" s="146">
        <v>0.152</v>
      </c>
      <c r="R162" s="34">
        <f>Q162+Костромаэнерго!D162</f>
        <v>0.982</v>
      </c>
      <c r="S162" s="34">
        <v>0</v>
      </c>
      <c r="T162" s="14">
        <v>120</v>
      </c>
      <c r="U162" s="50">
        <f t="shared" si="22"/>
        <v>0.982</v>
      </c>
      <c r="V162" s="51">
        <v>0</v>
      </c>
      <c r="W162" s="30">
        <f t="shared" si="27"/>
        <v>6.615</v>
      </c>
      <c r="X162" s="83">
        <f t="shared" si="23"/>
        <v>5.633</v>
      </c>
      <c r="Y162" s="201"/>
      <c r="Z162" s="203"/>
    </row>
    <row r="163" spans="1:26" s="69" customFormat="1" ht="25.5">
      <c r="A163" s="73">
        <v>120</v>
      </c>
      <c r="B163" s="31" t="s">
        <v>108</v>
      </c>
      <c r="C163" s="28" t="s">
        <v>4</v>
      </c>
      <c r="D163" s="119">
        <v>0.36</v>
      </c>
      <c r="E163" s="34">
        <v>0.55</v>
      </c>
      <c r="F163" s="14">
        <v>120</v>
      </c>
      <c r="G163" s="16">
        <f t="shared" si="21"/>
        <v>-0.19000000000000006</v>
      </c>
      <c r="H163" s="93">
        <v>0</v>
      </c>
      <c r="I163" s="30">
        <f>1.05*2.5</f>
        <v>2.625</v>
      </c>
      <c r="J163" s="30">
        <f t="shared" si="20"/>
        <v>2.815</v>
      </c>
      <c r="K163" s="33">
        <f aca="true" t="shared" si="28" ref="K163:K168">J163</f>
        <v>2.815</v>
      </c>
      <c r="L163" s="84" t="str">
        <f>IF(K163&lt;0,"closed","opened")</f>
        <v>opened</v>
      </c>
      <c r="M163" s="104"/>
      <c r="N163" s="73">
        <v>120</v>
      </c>
      <c r="O163" s="31" t="s">
        <v>108</v>
      </c>
      <c r="P163" s="65" t="s">
        <v>4</v>
      </c>
      <c r="Q163" s="131">
        <v>0.237</v>
      </c>
      <c r="R163" s="34">
        <f>Q163+Костромаэнерго!D163</f>
        <v>0.597</v>
      </c>
      <c r="S163" s="34">
        <v>0.55</v>
      </c>
      <c r="T163" s="14">
        <v>120</v>
      </c>
      <c r="U163" s="50">
        <f t="shared" si="22"/>
        <v>0.04699999999999993</v>
      </c>
      <c r="V163" s="51">
        <v>0</v>
      </c>
      <c r="W163" s="30">
        <f>1.05*2.5</f>
        <v>2.625</v>
      </c>
      <c r="X163" s="83">
        <f t="shared" si="23"/>
        <v>2.5780000000000003</v>
      </c>
      <c r="Y163" s="82">
        <f aca="true" t="shared" si="29" ref="Y163:Y168">X163</f>
        <v>2.5780000000000003</v>
      </c>
      <c r="Z163" s="84" t="str">
        <f>IF(Y163&lt;0,"closed","opened")</f>
        <v>opened</v>
      </c>
    </row>
    <row r="164" spans="1:26" s="69" customFormat="1" ht="25.5">
      <c r="A164" s="73">
        <v>121</v>
      </c>
      <c r="B164" s="31" t="s">
        <v>109</v>
      </c>
      <c r="C164" s="28" t="s">
        <v>5</v>
      </c>
      <c r="D164" s="119">
        <v>1.73</v>
      </c>
      <c r="E164" s="34">
        <v>1.28</v>
      </c>
      <c r="F164" s="14">
        <v>120</v>
      </c>
      <c r="G164" s="16">
        <f t="shared" si="21"/>
        <v>0.44999999999999996</v>
      </c>
      <c r="H164" s="93">
        <v>0</v>
      </c>
      <c r="I164" s="30">
        <f>1.05*4</f>
        <v>4.2</v>
      </c>
      <c r="J164" s="30">
        <f t="shared" si="20"/>
        <v>3.75</v>
      </c>
      <c r="K164" s="33">
        <f t="shared" si="28"/>
        <v>3.75</v>
      </c>
      <c r="L164" s="84" t="str">
        <f>IF(K164&lt;0,"closed","opened")</f>
        <v>opened</v>
      </c>
      <c r="M164" s="104"/>
      <c r="N164" s="73">
        <v>121</v>
      </c>
      <c r="O164" s="31" t="s">
        <v>109</v>
      </c>
      <c r="P164" s="65" t="s">
        <v>5</v>
      </c>
      <c r="Q164" s="131">
        <v>0.045</v>
      </c>
      <c r="R164" s="34">
        <f>Q164+Костромаэнерго!D164</f>
        <v>1.775</v>
      </c>
      <c r="S164" s="34">
        <v>1.28</v>
      </c>
      <c r="T164" s="14">
        <v>120</v>
      </c>
      <c r="U164" s="50">
        <f t="shared" si="22"/>
        <v>0.4949999999999999</v>
      </c>
      <c r="V164" s="51">
        <v>0</v>
      </c>
      <c r="W164" s="30">
        <f>1.05*4</f>
        <v>4.2</v>
      </c>
      <c r="X164" s="83">
        <f t="shared" si="23"/>
        <v>3.705</v>
      </c>
      <c r="Y164" s="82">
        <f t="shared" si="29"/>
        <v>3.705</v>
      </c>
      <c r="Z164" s="84" t="str">
        <f>IF(Y164&lt;0,"closed","opened")</f>
        <v>opened</v>
      </c>
    </row>
    <row r="165" spans="1:26" s="69" customFormat="1" ht="25.5">
      <c r="A165" s="73">
        <v>122</v>
      </c>
      <c r="B165" s="31" t="s">
        <v>110</v>
      </c>
      <c r="C165" s="28" t="s">
        <v>4</v>
      </c>
      <c r="D165" s="119">
        <v>0.28</v>
      </c>
      <c r="E165" s="34">
        <v>0.22</v>
      </c>
      <c r="F165" s="14">
        <v>120</v>
      </c>
      <c r="G165" s="16">
        <f t="shared" si="21"/>
        <v>0.060000000000000026</v>
      </c>
      <c r="H165" s="93">
        <v>0</v>
      </c>
      <c r="I165" s="30">
        <f>1.05*2.5</f>
        <v>2.625</v>
      </c>
      <c r="J165" s="30">
        <f t="shared" si="20"/>
        <v>2.565</v>
      </c>
      <c r="K165" s="33">
        <f t="shared" si="28"/>
        <v>2.565</v>
      </c>
      <c r="L165" s="18" t="str">
        <f>IF(K165&lt;0,"closed","opened")</f>
        <v>opened</v>
      </c>
      <c r="M165" s="104"/>
      <c r="N165" s="73">
        <v>122</v>
      </c>
      <c r="O165" s="31" t="s">
        <v>110</v>
      </c>
      <c r="P165" s="65" t="s">
        <v>4</v>
      </c>
      <c r="Q165" s="131">
        <v>0</v>
      </c>
      <c r="R165" s="34">
        <f>Q165+Костромаэнерго!D165</f>
        <v>0.28</v>
      </c>
      <c r="S165" s="34">
        <v>0.22</v>
      </c>
      <c r="T165" s="14">
        <v>120</v>
      </c>
      <c r="U165" s="50">
        <f t="shared" si="22"/>
        <v>0.060000000000000026</v>
      </c>
      <c r="V165" s="51">
        <v>0</v>
      </c>
      <c r="W165" s="30">
        <f>1.05*2.5</f>
        <v>2.625</v>
      </c>
      <c r="X165" s="83">
        <f t="shared" si="23"/>
        <v>2.565</v>
      </c>
      <c r="Y165" s="82">
        <f t="shared" si="29"/>
        <v>2.565</v>
      </c>
      <c r="Z165" s="18" t="str">
        <f>IF(Y165&lt;0,"closed","opened")</f>
        <v>opened</v>
      </c>
    </row>
    <row r="166" spans="1:26" s="69" customFormat="1" ht="25.5">
      <c r="A166" s="73">
        <v>123</v>
      </c>
      <c r="B166" s="11" t="s">
        <v>111</v>
      </c>
      <c r="C166" s="28" t="s">
        <v>6</v>
      </c>
      <c r="D166" s="119">
        <v>0.22</v>
      </c>
      <c r="E166" s="13">
        <v>0.74</v>
      </c>
      <c r="F166" s="14">
        <v>120</v>
      </c>
      <c r="G166" s="16">
        <f t="shared" si="21"/>
        <v>-0.52</v>
      </c>
      <c r="H166" s="93">
        <v>0</v>
      </c>
      <c r="I166" s="16">
        <f>1.05*1.6</f>
        <v>1.6800000000000002</v>
      </c>
      <c r="J166" s="30">
        <f t="shared" si="20"/>
        <v>2.2</v>
      </c>
      <c r="K166" s="33">
        <f t="shared" si="28"/>
        <v>2.2</v>
      </c>
      <c r="L166" s="74" t="str">
        <f>IF(K166&lt;0,"closed","opened")</f>
        <v>opened</v>
      </c>
      <c r="M166" s="104"/>
      <c r="N166" s="73">
        <v>123</v>
      </c>
      <c r="O166" s="11" t="s">
        <v>111</v>
      </c>
      <c r="P166" s="63" t="s">
        <v>6</v>
      </c>
      <c r="Q166" s="131">
        <v>0.006</v>
      </c>
      <c r="R166" s="34">
        <f>Q166+Костромаэнерго!D166</f>
        <v>0.226</v>
      </c>
      <c r="S166" s="13">
        <v>0.74</v>
      </c>
      <c r="T166" s="14">
        <v>120</v>
      </c>
      <c r="U166" s="50">
        <f t="shared" si="22"/>
        <v>-0.514</v>
      </c>
      <c r="V166" s="51">
        <v>0</v>
      </c>
      <c r="W166" s="16">
        <f>1.05*1.6</f>
        <v>1.6800000000000002</v>
      </c>
      <c r="X166" s="83">
        <f t="shared" si="23"/>
        <v>2.194</v>
      </c>
      <c r="Y166" s="82">
        <f t="shared" si="29"/>
        <v>2.194</v>
      </c>
      <c r="Z166" s="74" t="str">
        <f>IF(Y166&lt;0,"closed","opened")</f>
        <v>opened</v>
      </c>
    </row>
    <row r="167" spans="1:26" s="69" customFormat="1" ht="25.5">
      <c r="A167" s="73">
        <v>124</v>
      </c>
      <c r="B167" s="31" t="s">
        <v>112</v>
      </c>
      <c r="C167" s="28" t="s">
        <v>21</v>
      </c>
      <c r="D167" s="119">
        <v>0.38</v>
      </c>
      <c r="E167" s="34">
        <v>0.2</v>
      </c>
      <c r="F167" s="14">
        <v>120</v>
      </c>
      <c r="G167" s="15">
        <f t="shared" si="21"/>
        <v>0.18</v>
      </c>
      <c r="H167" s="93">
        <v>0</v>
      </c>
      <c r="I167" s="30">
        <f>1.05*2.5</f>
        <v>2.625</v>
      </c>
      <c r="J167" s="30">
        <f t="shared" si="20"/>
        <v>2.445</v>
      </c>
      <c r="K167" s="33">
        <f t="shared" si="28"/>
        <v>2.445</v>
      </c>
      <c r="L167" s="18" t="str">
        <f>IF(K167&lt;0,"closed","opened")</f>
        <v>opened</v>
      </c>
      <c r="M167" s="104"/>
      <c r="N167" s="73">
        <v>124</v>
      </c>
      <c r="O167" s="31" t="s">
        <v>112</v>
      </c>
      <c r="P167" s="65" t="s">
        <v>21</v>
      </c>
      <c r="Q167" s="131">
        <v>0.01</v>
      </c>
      <c r="R167" s="34">
        <f>Q167+Костромаэнерго!D167</f>
        <v>0.39</v>
      </c>
      <c r="S167" s="34">
        <v>0.2</v>
      </c>
      <c r="T167" s="14">
        <v>120</v>
      </c>
      <c r="U167" s="50">
        <f t="shared" si="22"/>
        <v>0.19</v>
      </c>
      <c r="V167" s="51">
        <v>0</v>
      </c>
      <c r="W167" s="30">
        <f>1.05*2.5</f>
        <v>2.625</v>
      </c>
      <c r="X167" s="83">
        <f t="shared" si="23"/>
        <v>2.435</v>
      </c>
      <c r="Y167" s="82">
        <f t="shared" si="29"/>
        <v>2.435</v>
      </c>
      <c r="Z167" s="18" t="str">
        <f>IF(Y167&lt;0,"closed","opened")</f>
        <v>opened</v>
      </c>
    </row>
    <row r="168" spans="1:26" s="69" customFormat="1" ht="25.5">
      <c r="A168" s="73">
        <v>125</v>
      </c>
      <c r="B168" s="31" t="s">
        <v>113</v>
      </c>
      <c r="C168" s="28" t="s">
        <v>4</v>
      </c>
      <c r="D168" s="119">
        <v>0.2</v>
      </c>
      <c r="E168" s="34">
        <v>0.13</v>
      </c>
      <c r="F168" s="14">
        <v>120</v>
      </c>
      <c r="G168" s="16">
        <f t="shared" si="21"/>
        <v>0.07</v>
      </c>
      <c r="H168" s="93">
        <v>0</v>
      </c>
      <c r="I168" s="30">
        <f>1.05*2.5</f>
        <v>2.625</v>
      </c>
      <c r="J168" s="30">
        <f t="shared" si="20"/>
        <v>2.555</v>
      </c>
      <c r="K168" s="33">
        <f t="shared" si="28"/>
        <v>2.555</v>
      </c>
      <c r="L168" s="74" t="str">
        <f>IF(K168&lt;0,"closed","opened")</f>
        <v>opened</v>
      </c>
      <c r="M168" s="104"/>
      <c r="N168" s="73">
        <v>125</v>
      </c>
      <c r="O168" s="31" t="s">
        <v>113</v>
      </c>
      <c r="P168" s="65" t="s">
        <v>4</v>
      </c>
      <c r="Q168" s="131">
        <v>0.352</v>
      </c>
      <c r="R168" s="34">
        <f>Q168+Костромаэнерго!D168</f>
        <v>0.552</v>
      </c>
      <c r="S168" s="34">
        <v>0.13</v>
      </c>
      <c r="T168" s="14">
        <v>120</v>
      </c>
      <c r="U168" s="50">
        <f t="shared" si="22"/>
        <v>0.42200000000000004</v>
      </c>
      <c r="V168" s="51">
        <v>0</v>
      </c>
      <c r="W168" s="30">
        <f>1.05*2.5</f>
        <v>2.625</v>
      </c>
      <c r="X168" s="83">
        <f t="shared" si="23"/>
        <v>2.203</v>
      </c>
      <c r="Y168" s="82">
        <f t="shared" si="29"/>
        <v>2.203</v>
      </c>
      <c r="Z168" s="74" t="str">
        <f>IF(Y168&lt;0,"closed","opened")</f>
        <v>opened</v>
      </c>
    </row>
    <row r="169" spans="1:26" s="69" customFormat="1" ht="25.5">
      <c r="A169" s="198">
        <v>126</v>
      </c>
      <c r="B169" s="31" t="s">
        <v>114</v>
      </c>
      <c r="C169" s="28" t="s">
        <v>2</v>
      </c>
      <c r="D169" s="119">
        <v>5.27</v>
      </c>
      <c r="E169" s="95">
        <f>E171+E170</f>
        <v>1.7</v>
      </c>
      <c r="F169" s="14">
        <v>120</v>
      </c>
      <c r="G169" s="15">
        <f t="shared" si="21"/>
        <v>3.5699999999999994</v>
      </c>
      <c r="H169" s="93">
        <v>0</v>
      </c>
      <c r="I169" s="30">
        <f>1.05*10</f>
        <v>10.5</v>
      </c>
      <c r="J169" s="30">
        <f t="shared" si="20"/>
        <v>6.930000000000001</v>
      </c>
      <c r="K169" s="206">
        <f>MIN(J169:J171)</f>
        <v>6.930000000000001</v>
      </c>
      <c r="L169" s="212" t="s">
        <v>226</v>
      </c>
      <c r="M169" s="104"/>
      <c r="N169" s="198">
        <v>126</v>
      </c>
      <c r="O169" s="31" t="s">
        <v>114</v>
      </c>
      <c r="P169" s="65" t="s">
        <v>2</v>
      </c>
      <c r="Q169" s="146">
        <v>0.843</v>
      </c>
      <c r="R169" s="34">
        <f>Q169+Костромаэнерго!D169</f>
        <v>6.1129999999999995</v>
      </c>
      <c r="S169" s="101">
        <f>S171+S170</f>
        <v>1.7</v>
      </c>
      <c r="T169" s="14">
        <v>120</v>
      </c>
      <c r="U169" s="50">
        <f t="shared" si="22"/>
        <v>4.412999999999999</v>
      </c>
      <c r="V169" s="51">
        <v>0</v>
      </c>
      <c r="W169" s="30">
        <f>1.05*10</f>
        <v>10.5</v>
      </c>
      <c r="X169" s="83">
        <f t="shared" si="23"/>
        <v>6.087000000000001</v>
      </c>
      <c r="Y169" s="201">
        <f>MIN(X169:X171)</f>
        <v>6.087000000000001</v>
      </c>
      <c r="Z169" s="212" t="s">
        <v>226</v>
      </c>
    </row>
    <row r="170" spans="1:26" s="69" customFormat="1" ht="15">
      <c r="A170" s="199"/>
      <c r="B170" s="261" t="s">
        <v>48</v>
      </c>
      <c r="C170" s="28" t="s">
        <v>2</v>
      </c>
      <c r="D170" s="99">
        <v>0.94</v>
      </c>
      <c r="E170" s="34">
        <v>0</v>
      </c>
      <c r="F170" s="14">
        <v>120</v>
      </c>
      <c r="G170" s="19">
        <f t="shared" si="21"/>
        <v>0.94</v>
      </c>
      <c r="H170" s="93">
        <v>0</v>
      </c>
      <c r="I170" s="30">
        <f>1.05*10</f>
        <v>10.5</v>
      </c>
      <c r="J170" s="30">
        <f>I170-D170</f>
        <v>9.56</v>
      </c>
      <c r="K170" s="207"/>
      <c r="L170" s="213"/>
      <c r="M170" s="104"/>
      <c r="N170" s="199"/>
      <c r="O170" s="261" t="s">
        <v>48</v>
      </c>
      <c r="P170" s="65" t="s">
        <v>2</v>
      </c>
      <c r="Q170" s="158">
        <v>0</v>
      </c>
      <c r="R170" s="34">
        <f>Q170+Костромаэнерго!D170</f>
        <v>0.94</v>
      </c>
      <c r="S170" s="34">
        <v>0</v>
      </c>
      <c r="T170" s="14">
        <v>120</v>
      </c>
      <c r="U170" s="50">
        <f t="shared" si="22"/>
        <v>0.94</v>
      </c>
      <c r="V170" s="51">
        <v>0</v>
      </c>
      <c r="W170" s="30">
        <f>1.05*10</f>
        <v>10.5</v>
      </c>
      <c r="X170" s="83">
        <f t="shared" si="23"/>
        <v>9.56</v>
      </c>
      <c r="Y170" s="201"/>
      <c r="Z170" s="213"/>
    </row>
    <row r="171" spans="1:26" s="69" customFormat="1" ht="15">
      <c r="A171" s="200"/>
      <c r="B171" s="261" t="s">
        <v>49</v>
      </c>
      <c r="C171" s="28" t="s">
        <v>2</v>
      </c>
      <c r="D171" s="99">
        <v>4.33</v>
      </c>
      <c r="E171" s="34">
        <v>1.7</v>
      </c>
      <c r="F171" s="14">
        <v>120</v>
      </c>
      <c r="G171" s="19">
        <f t="shared" si="21"/>
        <v>2.63</v>
      </c>
      <c r="H171" s="93">
        <v>0</v>
      </c>
      <c r="I171" s="30">
        <f>1.05*10</f>
        <v>10.5</v>
      </c>
      <c r="J171" s="30">
        <f t="shared" si="20"/>
        <v>7.87</v>
      </c>
      <c r="K171" s="208"/>
      <c r="L171" s="214"/>
      <c r="M171" s="104"/>
      <c r="N171" s="200"/>
      <c r="O171" s="261" t="s">
        <v>49</v>
      </c>
      <c r="P171" s="65" t="s">
        <v>2</v>
      </c>
      <c r="Q171" s="146">
        <v>0.843</v>
      </c>
      <c r="R171" s="34">
        <f>Q171+Костромаэнерго!D171</f>
        <v>5.173</v>
      </c>
      <c r="S171" s="34">
        <v>1.7</v>
      </c>
      <c r="T171" s="14">
        <v>120</v>
      </c>
      <c r="U171" s="50">
        <f t="shared" si="22"/>
        <v>3.473</v>
      </c>
      <c r="V171" s="51">
        <v>0</v>
      </c>
      <c r="W171" s="30">
        <f>1.05*10</f>
        <v>10.5</v>
      </c>
      <c r="X171" s="83">
        <f t="shared" si="23"/>
        <v>7.027</v>
      </c>
      <c r="Y171" s="201"/>
      <c r="Z171" s="214"/>
    </row>
    <row r="172" spans="1:26" s="69" customFormat="1" ht="25.5">
      <c r="A172" s="73">
        <v>127</v>
      </c>
      <c r="B172" s="31" t="s">
        <v>115</v>
      </c>
      <c r="C172" s="28" t="s">
        <v>22</v>
      </c>
      <c r="D172" s="119">
        <v>0.53</v>
      </c>
      <c r="E172" s="34">
        <v>0.34</v>
      </c>
      <c r="F172" s="14">
        <v>120</v>
      </c>
      <c r="G172" s="16">
        <f t="shared" si="21"/>
        <v>0.19</v>
      </c>
      <c r="H172" s="93">
        <v>0</v>
      </c>
      <c r="I172" s="30">
        <f>1.05*1.6</f>
        <v>1.6800000000000002</v>
      </c>
      <c r="J172" s="30">
        <f t="shared" si="20"/>
        <v>1.4900000000000002</v>
      </c>
      <c r="K172" s="33">
        <f>J172</f>
        <v>1.4900000000000002</v>
      </c>
      <c r="L172" s="18" t="str">
        <f>IF(K172&lt;0,"closed","opened")</f>
        <v>opened</v>
      </c>
      <c r="M172" s="104"/>
      <c r="N172" s="73">
        <v>127</v>
      </c>
      <c r="O172" s="31" t="s">
        <v>115</v>
      </c>
      <c r="P172" s="65" t="s">
        <v>22</v>
      </c>
      <c r="Q172" s="131">
        <v>0.017</v>
      </c>
      <c r="R172" s="34">
        <f>Q172+Костромаэнерго!D172</f>
        <v>0.547</v>
      </c>
      <c r="S172" s="34">
        <v>0.34</v>
      </c>
      <c r="T172" s="14">
        <v>120</v>
      </c>
      <c r="U172" s="50">
        <f t="shared" si="22"/>
        <v>0.20700000000000002</v>
      </c>
      <c r="V172" s="51">
        <v>0</v>
      </c>
      <c r="W172" s="30">
        <f>1.05*1.6</f>
        <v>1.6800000000000002</v>
      </c>
      <c r="X172" s="83">
        <f t="shared" si="23"/>
        <v>1.473</v>
      </c>
      <c r="Y172" s="82">
        <f>X172</f>
        <v>1.473</v>
      </c>
      <c r="Z172" s="18" t="str">
        <f>IF(Y172&lt;0,"closed","opened")</f>
        <v>opened</v>
      </c>
    </row>
    <row r="173" spans="1:26" s="69" customFormat="1" ht="25.5">
      <c r="A173" s="198">
        <v>128</v>
      </c>
      <c r="B173" s="31" t="s">
        <v>116</v>
      </c>
      <c r="C173" s="28" t="s">
        <v>14</v>
      </c>
      <c r="D173" s="119">
        <v>3.97</v>
      </c>
      <c r="E173" s="95">
        <f>E175+E174</f>
        <v>2.06</v>
      </c>
      <c r="F173" s="14">
        <v>120</v>
      </c>
      <c r="G173" s="15">
        <f t="shared" si="21"/>
        <v>1.9100000000000001</v>
      </c>
      <c r="H173" s="93">
        <v>0</v>
      </c>
      <c r="I173" s="30">
        <f>1.05*6.3</f>
        <v>6.615</v>
      </c>
      <c r="J173" s="30">
        <f t="shared" si="20"/>
        <v>4.705</v>
      </c>
      <c r="K173" s="206">
        <f>MIN(J173:J175)</f>
        <v>4.705</v>
      </c>
      <c r="L173" s="202" t="str">
        <f>IF(K173&lt;0,"closed","opened")</f>
        <v>opened</v>
      </c>
      <c r="M173" s="104"/>
      <c r="N173" s="198">
        <v>128</v>
      </c>
      <c r="O173" s="31" t="s">
        <v>116</v>
      </c>
      <c r="P173" s="65" t="s">
        <v>14</v>
      </c>
      <c r="Q173" s="146">
        <v>0.551</v>
      </c>
      <c r="R173" s="34">
        <f>Q173+Костромаэнерго!D173</f>
        <v>4.521</v>
      </c>
      <c r="S173" s="101">
        <f>S175+S174</f>
        <v>2.06</v>
      </c>
      <c r="T173" s="14">
        <v>120</v>
      </c>
      <c r="U173" s="50">
        <f t="shared" si="22"/>
        <v>2.461</v>
      </c>
      <c r="V173" s="51">
        <v>0</v>
      </c>
      <c r="W173" s="30">
        <f>1.05*6.3</f>
        <v>6.615</v>
      </c>
      <c r="X173" s="83">
        <f t="shared" si="23"/>
        <v>4.154</v>
      </c>
      <c r="Y173" s="209">
        <f>MIN(X173:X175)</f>
        <v>4.154</v>
      </c>
      <c r="Z173" s="202" t="str">
        <f>IF(Y173&lt;0,"closed","opened")</f>
        <v>opened</v>
      </c>
    </row>
    <row r="174" spans="1:26" s="69" customFormat="1" ht="15">
      <c r="A174" s="199"/>
      <c r="B174" s="261" t="s">
        <v>48</v>
      </c>
      <c r="C174" s="28" t="s">
        <v>14</v>
      </c>
      <c r="D174" s="99">
        <v>1.12</v>
      </c>
      <c r="E174" s="34">
        <v>0</v>
      </c>
      <c r="F174" s="14">
        <v>120</v>
      </c>
      <c r="G174" s="16">
        <f t="shared" si="21"/>
        <v>1.12</v>
      </c>
      <c r="H174" s="93">
        <v>0</v>
      </c>
      <c r="I174" s="30">
        <f>1.05*6.3</f>
        <v>6.615</v>
      </c>
      <c r="J174" s="30">
        <f>I174-D174</f>
        <v>5.495</v>
      </c>
      <c r="K174" s="207"/>
      <c r="L174" s="203"/>
      <c r="M174" s="104"/>
      <c r="N174" s="199"/>
      <c r="O174" s="261" t="s">
        <v>48</v>
      </c>
      <c r="P174" s="65" t="s">
        <v>14</v>
      </c>
      <c r="Q174" s="158">
        <v>0</v>
      </c>
      <c r="R174" s="34">
        <f>Q174+Костромаэнерго!D174</f>
        <v>1.12</v>
      </c>
      <c r="S174" s="34">
        <v>0</v>
      </c>
      <c r="T174" s="14">
        <v>120</v>
      </c>
      <c r="U174" s="50">
        <f t="shared" si="22"/>
        <v>1.12</v>
      </c>
      <c r="V174" s="51">
        <v>0</v>
      </c>
      <c r="W174" s="30">
        <f>1.05*6.3</f>
        <v>6.615</v>
      </c>
      <c r="X174" s="83">
        <f t="shared" si="23"/>
        <v>5.495</v>
      </c>
      <c r="Y174" s="210"/>
      <c r="Z174" s="203"/>
    </row>
    <row r="175" spans="1:26" s="69" customFormat="1" ht="15">
      <c r="A175" s="200"/>
      <c r="B175" s="261" t="s">
        <v>49</v>
      </c>
      <c r="C175" s="28" t="s">
        <v>14</v>
      </c>
      <c r="D175" s="99">
        <v>2.85</v>
      </c>
      <c r="E175" s="34">
        <v>2.06</v>
      </c>
      <c r="F175" s="14">
        <v>120</v>
      </c>
      <c r="G175" s="16">
        <f t="shared" si="21"/>
        <v>0.79</v>
      </c>
      <c r="H175" s="93">
        <v>0</v>
      </c>
      <c r="I175" s="30">
        <f>1.05*6.3</f>
        <v>6.615</v>
      </c>
      <c r="J175" s="30">
        <f t="shared" si="20"/>
        <v>5.825</v>
      </c>
      <c r="K175" s="208"/>
      <c r="L175" s="204"/>
      <c r="M175" s="104"/>
      <c r="N175" s="200"/>
      <c r="O175" s="261" t="s">
        <v>49</v>
      </c>
      <c r="P175" s="65" t="s">
        <v>14</v>
      </c>
      <c r="Q175" s="146">
        <v>0.551</v>
      </c>
      <c r="R175" s="34">
        <f>Q175+Костромаэнерго!D175</f>
        <v>3.4010000000000002</v>
      </c>
      <c r="S175" s="34">
        <v>2.06</v>
      </c>
      <c r="T175" s="14">
        <v>120</v>
      </c>
      <c r="U175" s="50">
        <f t="shared" si="22"/>
        <v>1.3410000000000002</v>
      </c>
      <c r="V175" s="51">
        <v>0</v>
      </c>
      <c r="W175" s="30">
        <f>1.05*6.3</f>
        <v>6.615</v>
      </c>
      <c r="X175" s="83">
        <f t="shared" si="23"/>
        <v>5.274</v>
      </c>
      <c r="Y175" s="211"/>
      <c r="Z175" s="204"/>
    </row>
    <row r="176" spans="1:26" s="69" customFormat="1" ht="25.5">
      <c r="A176" s="73">
        <v>129</v>
      </c>
      <c r="B176" s="31" t="s">
        <v>117</v>
      </c>
      <c r="C176" s="28" t="s">
        <v>6</v>
      </c>
      <c r="D176" s="119">
        <v>1.01</v>
      </c>
      <c r="E176" s="34">
        <v>0.49</v>
      </c>
      <c r="F176" s="14">
        <v>120</v>
      </c>
      <c r="G176" s="16">
        <f t="shared" si="21"/>
        <v>0.52</v>
      </c>
      <c r="H176" s="93">
        <v>0</v>
      </c>
      <c r="I176" s="30">
        <f>1.05*1.6</f>
        <v>1.6800000000000002</v>
      </c>
      <c r="J176" s="30">
        <f t="shared" si="20"/>
        <v>1.1600000000000001</v>
      </c>
      <c r="K176" s="33">
        <f>J176</f>
        <v>1.1600000000000001</v>
      </c>
      <c r="L176" s="74" t="str">
        <f>IF(K176&lt;0,"closed","opened")</f>
        <v>opened</v>
      </c>
      <c r="M176" s="104"/>
      <c r="N176" s="73">
        <v>129</v>
      </c>
      <c r="O176" s="31" t="s">
        <v>117</v>
      </c>
      <c r="P176" s="65" t="s">
        <v>6</v>
      </c>
      <c r="Q176" s="131">
        <v>0.083</v>
      </c>
      <c r="R176" s="34">
        <f>Q176+Костромаэнерго!D176</f>
        <v>1.093</v>
      </c>
      <c r="S176" s="34">
        <v>0.49</v>
      </c>
      <c r="T176" s="14">
        <v>120</v>
      </c>
      <c r="U176" s="50">
        <f t="shared" si="22"/>
        <v>0.603</v>
      </c>
      <c r="V176" s="51">
        <v>0</v>
      </c>
      <c r="W176" s="30">
        <f>1.05*1.6</f>
        <v>1.6800000000000002</v>
      </c>
      <c r="X176" s="83">
        <f t="shared" si="23"/>
        <v>1.0770000000000002</v>
      </c>
      <c r="Y176" s="82">
        <f>X176</f>
        <v>1.0770000000000002</v>
      </c>
      <c r="Z176" s="74" t="str">
        <f>IF(Y176&lt;0,"closed","opened")</f>
        <v>opened</v>
      </c>
    </row>
    <row r="177" spans="1:26" s="69" customFormat="1" ht="25.5">
      <c r="A177" s="198">
        <v>130</v>
      </c>
      <c r="B177" s="31" t="s">
        <v>118</v>
      </c>
      <c r="C177" s="28" t="s">
        <v>23</v>
      </c>
      <c r="D177" s="119">
        <v>6.09</v>
      </c>
      <c r="E177" s="95">
        <f>E179+E178</f>
        <v>0.38</v>
      </c>
      <c r="F177" s="14">
        <v>120</v>
      </c>
      <c r="G177" s="16">
        <f t="shared" si="21"/>
        <v>5.71</v>
      </c>
      <c r="H177" s="93">
        <v>0</v>
      </c>
      <c r="I177" s="30">
        <f>1.05*6.3</f>
        <v>6.615</v>
      </c>
      <c r="J177" s="30">
        <f t="shared" si="20"/>
        <v>0.9050000000000002</v>
      </c>
      <c r="K177" s="206">
        <f>MIN(J177:J179)</f>
        <v>0.9050000000000002</v>
      </c>
      <c r="L177" s="202" t="str">
        <f>IF(K177&lt;0,"closed","opened")</f>
        <v>opened</v>
      </c>
      <c r="M177" s="104"/>
      <c r="N177" s="198">
        <v>130</v>
      </c>
      <c r="O177" s="31" t="s">
        <v>118</v>
      </c>
      <c r="P177" s="65" t="s">
        <v>23</v>
      </c>
      <c r="Q177" s="146">
        <v>0.144</v>
      </c>
      <c r="R177" s="34">
        <f>Q177+Костромаэнерго!D177</f>
        <v>6.234</v>
      </c>
      <c r="S177" s="101">
        <f>S179+S178</f>
        <v>0.38</v>
      </c>
      <c r="T177" s="14">
        <v>120</v>
      </c>
      <c r="U177" s="50">
        <f t="shared" si="22"/>
        <v>5.854</v>
      </c>
      <c r="V177" s="51">
        <v>0</v>
      </c>
      <c r="W177" s="30">
        <f>1.05*6.3</f>
        <v>6.615</v>
      </c>
      <c r="X177" s="83">
        <f t="shared" si="23"/>
        <v>0.7610000000000001</v>
      </c>
      <c r="Y177" s="201">
        <f>MIN(X177:X179)</f>
        <v>0.7610000000000001</v>
      </c>
      <c r="Z177" s="202" t="str">
        <f>IF(Y177&lt;0,"closed","opened")</f>
        <v>opened</v>
      </c>
    </row>
    <row r="178" spans="1:26" s="69" customFormat="1" ht="15">
      <c r="A178" s="199"/>
      <c r="B178" s="261" t="s">
        <v>48</v>
      </c>
      <c r="C178" s="28" t="s">
        <v>23</v>
      </c>
      <c r="D178" s="118">
        <v>3.53</v>
      </c>
      <c r="E178" s="34">
        <v>0</v>
      </c>
      <c r="F178" s="14">
        <v>120</v>
      </c>
      <c r="G178" s="15">
        <f t="shared" si="21"/>
        <v>3.53</v>
      </c>
      <c r="H178" s="93">
        <v>0</v>
      </c>
      <c r="I178" s="30">
        <f>1.05*6.3</f>
        <v>6.615</v>
      </c>
      <c r="J178" s="30">
        <f>I178-D178</f>
        <v>3.0850000000000004</v>
      </c>
      <c r="K178" s="207"/>
      <c r="L178" s="203"/>
      <c r="M178" s="104"/>
      <c r="N178" s="199"/>
      <c r="O178" s="261" t="s">
        <v>48</v>
      </c>
      <c r="P178" s="65" t="s">
        <v>23</v>
      </c>
      <c r="Q178" s="158">
        <v>0</v>
      </c>
      <c r="R178" s="34">
        <f>Q178+Костромаэнерго!D178</f>
        <v>3.53</v>
      </c>
      <c r="S178" s="34">
        <v>0</v>
      </c>
      <c r="T178" s="14">
        <v>120</v>
      </c>
      <c r="U178" s="50">
        <f t="shared" si="22"/>
        <v>3.53</v>
      </c>
      <c r="V178" s="51">
        <v>0</v>
      </c>
      <c r="W178" s="30">
        <f>1.05*6.3</f>
        <v>6.615</v>
      </c>
      <c r="X178" s="83">
        <f t="shared" si="23"/>
        <v>3.0850000000000004</v>
      </c>
      <c r="Y178" s="201"/>
      <c r="Z178" s="203"/>
    </row>
    <row r="179" spans="1:26" s="69" customFormat="1" ht="15">
      <c r="A179" s="200"/>
      <c r="B179" s="261" t="s">
        <v>49</v>
      </c>
      <c r="C179" s="28" t="s">
        <v>23</v>
      </c>
      <c r="D179" s="99">
        <v>2.56</v>
      </c>
      <c r="E179" s="34">
        <v>0.38</v>
      </c>
      <c r="F179" s="14">
        <v>120</v>
      </c>
      <c r="G179" s="19">
        <f t="shared" si="21"/>
        <v>2.18</v>
      </c>
      <c r="H179" s="93">
        <v>0</v>
      </c>
      <c r="I179" s="30">
        <f>1.05*6.3</f>
        <v>6.615</v>
      </c>
      <c r="J179" s="30">
        <f t="shared" si="20"/>
        <v>4.4350000000000005</v>
      </c>
      <c r="K179" s="208"/>
      <c r="L179" s="204"/>
      <c r="M179" s="104"/>
      <c r="N179" s="200"/>
      <c r="O179" s="261" t="s">
        <v>49</v>
      </c>
      <c r="P179" s="65" t="s">
        <v>23</v>
      </c>
      <c r="Q179" s="146">
        <v>0.144</v>
      </c>
      <c r="R179" s="34">
        <f>Q179+Костромаэнерго!D179</f>
        <v>2.704</v>
      </c>
      <c r="S179" s="34">
        <v>0.38</v>
      </c>
      <c r="T179" s="14">
        <v>120</v>
      </c>
      <c r="U179" s="50">
        <f t="shared" si="22"/>
        <v>2.3240000000000003</v>
      </c>
      <c r="V179" s="51">
        <v>0</v>
      </c>
      <c r="W179" s="30">
        <f>1.05*6.3</f>
        <v>6.615</v>
      </c>
      <c r="X179" s="83">
        <f t="shared" si="23"/>
        <v>4.291</v>
      </c>
      <c r="Y179" s="201"/>
      <c r="Z179" s="204"/>
    </row>
    <row r="180" spans="1:26" s="69" customFormat="1" ht="25.5">
      <c r="A180" s="73">
        <v>131</v>
      </c>
      <c r="B180" s="31" t="s">
        <v>119</v>
      </c>
      <c r="C180" s="28" t="s">
        <v>18</v>
      </c>
      <c r="D180" s="119">
        <v>0.7</v>
      </c>
      <c r="E180" s="34">
        <v>0.45</v>
      </c>
      <c r="F180" s="14">
        <v>120</v>
      </c>
      <c r="G180" s="19">
        <f t="shared" si="21"/>
        <v>0.24999999999999994</v>
      </c>
      <c r="H180" s="93">
        <v>0</v>
      </c>
      <c r="I180" s="30">
        <f>1.05*2.5</f>
        <v>2.625</v>
      </c>
      <c r="J180" s="30">
        <f t="shared" si="20"/>
        <v>2.375</v>
      </c>
      <c r="K180" s="33">
        <f>J180</f>
        <v>2.375</v>
      </c>
      <c r="L180" s="18" t="str">
        <f>IF(K180&lt;0,"closed","opened")</f>
        <v>opened</v>
      </c>
      <c r="M180" s="104"/>
      <c r="N180" s="73">
        <v>131</v>
      </c>
      <c r="O180" s="31" t="s">
        <v>119</v>
      </c>
      <c r="P180" s="65" t="s">
        <v>18</v>
      </c>
      <c r="Q180" s="131">
        <v>0.031</v>
      </c>
      <c r="R180" s="34">
        <f>Q180+Костромаэнерго!D180</f>
        <v>0.731</v>
      </c>
      <c r="S180" s="34">
        <v>0.45</v>
      </c>
      <c r="T180" s="14">
        <v>120</v>
      </c>
      <c r="U180" s="50">
        <f t="shared" si="22"/>
        <v>0.28099999999999997</v>
      </c>
      <c r="V180" s="51">
        <v>0</v>
      </c>
      <c r="W180" s="30">
        <f>1.05*2.5</f>
        <v>2.625</v>
      </c>
      <c r="X180" s="83">
        <f t="shared" si="23"/>
        <v>2.344</v>
      </c>
      <c r="Y180" s="82">
        <f>X180</f>
        <v>2.344</v>
      </c>
      <c r="Z180" s="18" t="str">
        <f>IF(Y180&lt;0,"closed","opened")</f>
        <v>opened</v>
      </c>
    </row>
    <row r="181" spans="1:26" s="69" customFormat="1" ht="25.5">
      <c r="A181" s="73">
        <v>132</v>
      </c>
      <c r="B181" s="31" t="s">
        <v>120</v>
      </c>
      <c r="C181" s="28" t="s">
        <v>6</v>
      </c>
      <c r="D181" s="119">
        <v>0.13</v>
      </c>
      <c r="E181" s="34">
        <v>0.1</v>
      </c>
      <c r="F181" s="14">
        <v>120</v>
      </c>
      <c r="G181" s="19">
        <f t="shared" si="21"/>
        <v>0.03</v>
      </c>
      <c r="H181" s="93">
        <v>0</v>
      </c>
      <c r="I181" s="30">
        <f>1.05*1.6</f>
        <v>1.6800000000000002</v>
      </c>
      <c r="J181" s="30">
        <f t="shared" si="20"/>
        <v>1.6500000000000001</v>
      </c>
      <c r="K181" s="33">
        <f>J181</f>
        <v>1.6500000000000001</v>
      </c>
      <c r="L181" s="74" t="str">
        <f>IF(K181&lt;0,"closed","opened")</f>
        <v>opened</v>
      </c>
      <c r="M181" s="104"/>
      <c r="N181" s="73">
        <v>132</v>
      </c>
      <c r="O181" s="31" t="s">
        <v>120</v>
      </c>
      <c r="P181" s="65" t="s">
        <v>6</v>
      </c>
      <c r="Q181" s="131">
        <v>0.006</v>
      </c>
      <c r="R181" s="34">
        <f>Q181+Костромаэнерго!D181</f>
        <v>0.136</v>
      </c>
      <c r="S181" s="34">
        <v>0.1</v>
      </c>
      <c r="T181" s="14">
        <v>120</v>
      </c>
      <c r="U181" s="50">
        <f t="shared" si="22"/>
        <v>0.036000000000000004</v>
      </c>
      <c r="V181" s="51">
        <v>0</v>
      </c>
      <c r="W181" s="30">
        <f>1.05*1.6</f>
        <v>1.6800000000000002</v>
      </c>
      <c r="X181" s="83">
        <f t="shared" si="23"/>
        <v>1.6440000000000001</v>
      </c>
      <c r="Y181" s="82">
        <f>X181</f>
        <v>1.6440000000000001</v>
      </c>
      <c r="Z181" s="74" t="str">
        <f>IF(Y181&lt;0,"closed","opened")</f>
        <v>opened</v>
      </c>
    </row>
    <row r="182" spans="1:26" s="69" customFormat="1" ht="25.5">
      <c r="A182" s="198">
        <v>133</v>
      </c>
      <c r="B182" s="31" t="s">
        <v>121</v>
      </c>
      <c r="C182" s="28" t="s">
        <v>2</v>
      </c>
      <c r="D182" s="119">
        <v>3.48</v>
      </c>
      <c r="E182" s="95">
        <f>E184+E183</f>
        <v>0.69</v>
      </c>
      <c r="F182" s="14">
        <v>120</v>
      </c>
      <c r="G182" s="16">
        <f t="shared" si="21"/>
        <v>2.79</v>
      </c>
      <c r="H182" s="93">
        <v>0</v>
      </c>
      <c r="I182" s="30">
        <f>1.05*10</f>
        <v>10.5</v>
      </c>
      <c r="J182" s="30">
        <f t="shared" si="20"/>
        <v>7.71</v>
      </c>
      <c r="K182" s="206">
        <f>MIN(J182:J184)</f>
        <v>7.71</v>
      </c>
      <c r="L182" s="202" t="str">
        <f>IF(K182&lt;0,"closed","opened")</f>
        <v>opened</v>
      </c>
      <c r="M182" s="104"/>
      <c r="N182" s="198">
        <v>133</v>
      </c>
      <c r="O182" s="31" t="s">
        <v>121</v>
      </c>
      <c r="P182" s="65" t="s">
        <v>2</v>
      </c>
      <c r="Q182" s="146">
        <v>0.381</v>
      </c>
      <c r="R182" s="34">
        <f>Q182+Костромаэнерго!D182</f>
        <v>3.8609999999999998</v>
      </c>
      <c r="S182" s="101">
        <f>S184+S183</f>
        <v>0.69</v>
      </c>
      <c r="T182" s="14">
        <v>120</v>
      </c>
      <c r="U182" s="50">
        <f t="shared" si="22"/>
        <v>3.171</v>
      </c>
      <c r="V182" s="51">
        <v>0</v>
      </c>
      <c r="W182" s="30">
        <f>1.05*10</f>
        <v>10.5</v>
      </c>
      <c r="X182" s="83">
        <f t="shared" si="23"/>
        <v>7.329000000000001</v>
      </c>
      <c r="Y182" s="201">
        <f>MIN(X182:X184)</f>
        <v>7.329000000000001</v>
      </c>
      <c r="Z182" s="202" t="str">
        <f>IF(Y182&lt;0,"closed","opened")</f>
        <v>opened</v>
      </c>
    </row>
    <row r="183" spans="1:26" s="69" customFormat="1" ht="15">
      <c r="A183" s="199"/>
      <c r="B183" s="261" t="s">
        <v>48</v>
      </c>
      <c r="C183" s="28" t="s">
        <v>2</v>
      </c>
      <c r="D183" s="99">
        <v>1.23</v>
      </c>
      <c r="E183" s="34">
        <v>0</v>
      </c>
      <c r="F183" s="14">
        <v>120</v>
      </c>
      <c r="G183" s="16">
        <f t="shared" si="21"/>
        <v>1.23</v>
      </c>
      <c r="H183" s="93">
        <v>0</v>
      </c>
      <c r="I183" s="30">
        <f>1.05*10</f>
        <v>10.5</v>
      </c>
      <c r="J183" s="30">
        <f>I183-D183</f>
        <v>9.27</v>
      </c>
      <c r="K183" s="207"/>
      <c r="L183" s="203"/>
      <c r="M183" s="104"/>
      <c r="N183" s="199"/>
      <c r="O183" s="261" t="s">
        <v>48</v>
      </c>
      <c r="P183" s="65" t="s">
        <v>2</v>
      </c>
      <c r="Q183" s="158">
        <v>0</v>
      </c>
      <c r="R183" s="34">
        <f>Q183+Костромаэнерго!D183</f>
        <v>1.23</v>
      </c>
      <c r="S183" s="34">
        <v>0</v>
      </c>
      <c r="T183" s="14">
        <v>120</v>
      </c>
      <c r="U183" s="50">
        <f t="shared" si="22"/>
        <v>1.23</v>
      </c>
      <c r="V183" s="51">
        <v>0</v>
      </c>
      <c r="W183" s="30">
        <f>1.05*10</f>
        <v>10.5</v>
      </c>
      <c r="X183" s="83">
        <f t="shared" si="23"/>
        <v>9.27</v>
      </c>
      <c r="Y183" s="201"/>
      <c r="Z183" s="203"/>
    </row>
    <row r="184" spans="1:26" s="69" customFormat="1" ht="15">
      <c r="A184" s="200"/>
      <c r="B184" s="261" t="s">
        <v>49</v>
      </c>
      <c r="C184" s="28" t="s">
        <v>2</v>
      </c>
      <c r="D184" s="99">
        <v>2.25</v>
      </c>
      <c r="E184" s="34">
        <v>0.69</v>
      </c>
      <c r="F184" s="14">
        <v>120</v>
      </c>
      <c r="G184" s="16">
        <f t="shared" si="21"/>
        <v>1.56</v>
      </c>
      <c r="H184" s="93">
        <v>0</v>
      </c>
      <c r="I184" s="30">
        <f>1.05*10</f>
        <v>10.5</v>
      </c>
      <c r="J184" s="30">
        <f t="shared" si="20"/>
        <v>8.94</v>
      </c>
      <c r="K184" s="208"/>
      <c r="L184" s="203"/>
      <c r="M184" s="104"/>
      <c r="N184" s="200"/>
      <c r="O184" s="261" t="s">
        <v>49</v>
      </c>
      <c r="P184" s="65" t="s">
        <v>2</v>
      </c>
      <c r="Q184" s="146">
        <v>0.381</v>
      </c>
      <c r="R184" s="34">
        <f>Q184+Костромаэнерго!D184</f>
        <v>2.6310000000000002</v>
      </c>
      <c r="S184" s="34">
        <v>0.69</v>
      </c>
      <c r="T184" s="14">
        <v>120</v>
      </c>
      <c r="U184" s="50">
        <f t="shared" si="22"/>
        <v>1.9410000000000003</v>
      </c>
      <c r="V184" s="51">
        <v>0</v>
      </c>
      <c r="W184" s="30">
        <f>1.05*10</f>
        <v>10.5</v>
      </c>
      <c r="X184" s="83">
        <f t="shared" si="23"/>
        <v>8.559</v>
      </c>
      <c r="Y184" s="201"/>
      <c r="Z184" s="203"/>
    </row>
    <row r="185" spans="1:26" s="69" customFormat="1" ht="25.5">
      <c r="A185" s="73">
        <v>134</v>
      </c>
      <c r="B185" s="31" t="s">
        <v>122</v>
      </c>
      <c r="C185" s="28" t="s">
        <v>6</v>
      </c>
      <c r="D185" s="119">
        <v>0.09</v>
      </c>
      <c r="E185" s="34">
        <v>0.1</v>
      </c>
      <c r="F185" s="14">
        <v>120</v>
      </c>
      <c r="G185" s="15">
        <f t="shared" si="21"/>
        <v>-0.010000000000000009</v>
      </c>
      <c r="H185" s="93">
        <v>0</v>
      </c>
      <c r="I185" s="30">
        <f>1.05*1.6</f>
        <v>1.6800000000000002</v>
      </c>
      <c r="J185" s="30">
        <f t="shared" si="20"/>
        <v>1.6900000000000002</v>
      </c>
      <c r="K185" s="33">
        <f>J185</f>
        <v>1.6900000000000002</v>
      </c>
      <c r="L185" s="18" t="str">
        <f>IF(K185&lt;0,"closed","opened")</f>
        <v>opened</v>
      </c>
      <c r="M185" s="104"/>
      <c r="N185" s="73">
        <v>134</v>
      </c>
      <c r="O185" s="31" t="s">
        <v>122</v>
      </c>
      <c r="P185" s="65" t="s">
        <v>6</v>
      </c>
      <c r="Q185" s="131">
        <v>0</v>
      </c>
      <c r="R185" s="34">
        <f>Q185+Костромаэнерго!D185</f>
        <v>0.09</v>
      </c>
      <c r="S185" s="34">
        <v>0.1</v>
      </c>
      <c r="T185" s="14">
        <v>120</v>
      </c>
      <c r="U185" s="50">
        <f t="shared" si="22"/>
        <v>-0.010000000000000009</v>
      </c>
      <c r="V185" s="51">
        <v>0</v>
      </c>
      <c r="W185" s="30">
        <f>1.05*1.6</f>
        <v>1.6800000000000002</v>
      </c>
      <c r="X185" s="83">
        <f t="shared" si="23"/>
        <v>1.6900000000000002</v>
      </c>
      <c r="Y185" s="82">
        <f>X185</f>
        <v>1.6900000000000002</v>
      </c>
      <c r="Z185" s="18" t="str">
        <f>IF(Y185&lt;0,"closed","opened")</f>
        <v>opened</v>
      </c>
    </row>
    <row r="186" spans="1:26" s="69" customFormat="1" ht="25.5">
      <c r="A186" s="198">
        <v>135</v>
      </c>
      <c r="B186" s="31" t="s">
        <v>123</v>
      </c>
      <c r="C186" s="28" t="s">
        <v>2</v>
      </c>
      <c r="D186" s="119">
        <v>5.36</v>
      </c>
      <c r="E186" s="95">
        <f>E188+E187</f>
        <v>0.04</v>
      </c>
      <c r="F186" s="14">
        <v>120</v>
      </c>
      <c r="G186" s="19">
        <f t="shared" si="21"/>
        <v>5.32</v>
      </c>
      <c r="H186" s="93">
        <v>0</v>
      </c>
      <c r="I186" s="30">
        <f>1.05*10</f>
        <v>10.5</v>
      </c>
      <c r="J186" s="30">
        <f t="shared" si="20"/>
        <v>5.18</v>
      </c>
      <c r="K186" s="206">
        <f>MIN(J186:J188)</f>
        <v>5.18</v>
      </c>
      <c r="L186" s="202" t="str">
        <f>IF(K186&lt;0,"closed","opened")</f>
        <v>opened</v>
      </c>
      <c r="M186" s="104"/>
      <c r="N186" s="198">
        <v>135</v>
      </c>
      <c r="O186" s="31" t="s">
        <v>123</v>
      </c>
      <c r="P186" s="65" t="s">
        <v>2</v>
      </c>
      <c r="Q186" s="146">
        <v>0</v>
      </c>
      <c r="R186" s="34">
        <f>Q186+Костромаэнерго!D186</f>
        <v>5.36</v>
      </c>
      <c r="S186" s="101">
        <f>S188+S187</f>
        <v>0.04</v>
      </c>
      <c r="T186" s="14">
        <v>120</v>
      </c>
      <c r="U186" s="50">
        <f t="shared" si="22"/>
        <v>5.32</v>
      </c>
      <c r="V186" s="51">
        <v>0</v>
      </c>
      <c r="W186" s="30">
        <v>10.5</v>
      </c>
      <c r="X186" s="83">
        <f t="shared" si="23"/>
        <v>5.18</v>
      </c>
      <c r="Y186" s="201">
        <f>MIN(X186:X188)</f>
        <v>5.18</v>
      </c>
      <c r="Z186" s="202" t="str">
        <f>IF(Y186&lt;0,"closed","opened")</f>
        <v>opened</v>
      </c>
    </row>
    <row r="187" spans="1:26" s="69" customFormat="1" ht="15">
      <c r="A187" s="199"/>
      <c r="B187" s="261" t="s">
        <v>48</v>
      </c>
      <c r="C187" s="28" t="s">
        <v>2</v>
      </c>
      <c r="D187" s="99">
        <v>5.25</v>
      </c>
      <c r="E187" s="34">
        <v>0</v>
      </c>
      <c r="F187" s="14">
        <v>120</v>
      </c>
      <c r="G187" s="19">
        <f t="shared" si="21"/>
        <v>5.25</v>
      </c>
      <c r="H187" s="93">
        <v>0</v>
      </c>
      <c r="I187" s="30">
        <f>1.05*10</f>
        <v>10.5</v>
      </c>
      <c r="J187" s="30">
        <f>I187-D187</f>
        <v>5.25</v>
      </c>
      <c r="K187" s="207"/>
      <c r="L187" s="203"/>
      <c r="M187" s="104"/>
      <c r="N187" s="199"/>
      <c r="O187" s="261" t="s">
        <v>48</v>
      </c>
      <c r="P187" s="65" t="s">
        <v>2</v>
      </c>
      <c r="Q187" s="158">
        <v>0</v>
      </c>
      <c r="R187" s="34">
        <f>Q187+Костромаэнерго!D187</f>
        <v>5.25</v>
      </c>
      <c r="S187" s="34">
        <v>0</v>
      </c>
      <c r="T187" s="14">
        <v>120</v>
      </c>
      <c r="U187" s="50">
        <f t="shared" si="22"/>
        <v>5.25</v>
      </c>
      <c r="V187" s="51">
        <v>0</v>
      </c>
      <c r="W187" s="30">
        <f>1.05*10</f>
        <v>10.5</v>
      </c>
      <c r="X187" s="83">
        <f t="shared" si="23"/>
        <v>5.25</v>
      </c>
      <c r="Y187" s="201"/>
      <c r="Z187" s="203"/>
    </row>
    <row r="188" spans="1:26" s="69" customFormat="1" ht="15">
      <c r="A188" s="200"/>
      <c r="B188" s="261" t="s">
        <v>49</v>
      </c>
      <c r="C188" s="28" t="s">
        <v>2</v>
      </c>
      <c r="D188" s="99">
        <v>0.11</v>
      </c>
      <c r="E188" s="34">
        <v>0.04</v>
      </c>
      <c r="F188" s="14">
        <v>120</v>
      </c>
      <c r="G188" s="19">
        <f t="shared" si="21"/>
        <v>0.07</v>
      </c>
      <c r="H188" s="93">
        <v>0</v>
      </c>
      <c r="I188" s="30">
        <f>1.05*10</f>
        <v>10.5</v>
      </c>
      <c r="J188" s="30">
        <f t="shared" si="20"/>
        <v>10.43</v>
      </c>
      <c r="K188" s="208"/>
      <c r="L188" s="204"/>
      <c r="M188" s="104"/>
      <c r="N188" s="200"/>
      <c r="O188" s="261" t="s">
        <v>49</v>
      </c>
      <c r="P188" s="65" t="s">
        <v>2</v>
      </c>
      <c r="Q188" s="146">
        <v>0</v>
      </c>
      <c r="R188" s="34">
        <f>Q188+Костромаэнерго!D188</f>
        <v>0.11</v>
      </c>
      <c r="S188" s="34">
        <v>0.04</v>
      </c>
      <c r="T188" s="14">
        <v>120</v>
      </c>
      <c r="U188" s="50">
        <f t="shared" si="22"/>
        <v>0.07</v>
      </c>
      <c r="V188" s="51">
        <v>0</v>
      </c>
      <c r="W188" s="30">
        <f>1.05*10</f>
        <v>10.5</v>
      </c>
      <c r="X188" s="83">
        <f t="shared" si="23"/>
        <v>10.43</v>
      </c>
      <c r="Y188" s="201"/>
      <c r="Z188" s="204"/>
    </row>
    <row r="189" spans="1:26" s="69" customFormat="1" ht="25.5">
      <c r="A189" s="73">
        <v>136</v>
      </c>
      <c r="B189" s="31" t="s">
        <v>124</v>
      </c>
      <c r="C189" s="28" t="s">
        <v>5</v>
      </c>
      <c r="D189" s="119">
        <v>2.12</v>
      </c>
      <c r="E189" s="34">
        <v>1.42</v>
      </c>
      <c r="F189" s="14">
        <v>120</v>
      </c>
      <c r="G189" s="16">
        <f t="shared" si="21"/>
        <v>0.7000000000000002</v>
      </c>
      <c r="H189" s="93">
        <v>0</v>
      </c>
      <c r="I189" s="30">
        <f>1.05*4</f>
        <v>4.2</v>
      </c>
      <c r="J189" s="30">
        <f t="shared" si="20"/>
        <v>3.5</v>
      </c>
      <c r="K189" s="33">
        <f>J189</f>
        <v>3.5</v>
      </c>
      <c r="L189" s="18" t="str">
        <f>IF(K189&lt;0,"closed","opened")</f>
        <v>opened</v>
      </c>
      <c r="M189" s="104"/>
      <c r="N189" s="73">
        <v>136</v>
      </c>
      <c r="O189" s="31" t="s">
        <v>124</v>
      </c>
      <c r="P189" s="65" t="s">
        <v>5</v>
      </c>
      <c r="Q189" s="131">
        <v>0.162</v>
      </c>
      <c r="R189" s="34">
        <f>Q189+Костромаэнерго!D189</f>
        <v>2.282</v>
      </c>
      <c r="S189" s="34">
        <v>1.42</v>
      </c>
      <c r="T189" s="14">
        <v>120</v>
      </c>
      <c r="U189" s="50">
        <f t="shared" si="22"/>
        <v>0.8620000000000001</v>
      </c>
      <c r="V189" s="51">
        <v>0</v>
      </c>
      <c r="W189" s="30">
        <f>1.05*4</f>
        <v>4.2</v>
      </c>
      <c r="X189" s="83">
        <f t="shared" si="23"/>
        <v>3.338</v>
      </c>
      <c r="Y189" s="82">
        <f>X189</f>
        <v>3.338</v>
      </c>
      <c r="Z189" s="18" t="str">
        <f>IF(Y189&lt;0,"closed","opened")</f>
        <v>opened</v>
      </c>
    </row>
    <row r="190" spans="1:26" s="69" customFormat="1" ht="25.5">
      <c r="A190" s="73">
        <v>137</v>
      </c>
      <c r="B190" s="31" t="s">
        <v>125</v>
      </c>
      <c r="C190" s="28" t="s">
        <v>6</v>
      </c>
      <c r="D190" s="119">
        <v>0.23</v>
      </c>
      <c r="E190" s="34">
        <v>0.08</v>
      </c>
      <c r="F190" s="14">
        <v>120</v>
      </c>
      <c r="G190" s="15">
        <f t="shared" si="21"/>
        <v>0.15000000000000002</v>
      </c>
      <c r="H190" s="93">
        <v>0</v>
      </c>
      <c r="I190" s="30">
        <f>1.05*1.6</f>
        <v>1.6800000000000002</v>
      </c>
      <c r="J190" s="30">
        <f t="shared" si="20"/>
        <v>1.5300000000000002</v>
      </c>
      <c r="K190" s="33">
        <f>J190</f>
        <v>1.5300000000000002</v>
      </c>
      <c r="L190" s="74" t="str">
        <f>IF(K190&lt;0,"closed","opened")</f>
        <v>opened</v>
      </c>
      <c r="M190" s="104"/>
      <c r="N190" s="73">
        <v>137</v>
      </c>
      <c r="O190" s="31" t="s">
        <v>125</v>
      </c>
      <c r="P190" s="65" t="s">
        <v>6</v>
      </c>
      <c r="Q190" s="131">
        <v>0.007</v>
      </c>
      <c r="R190" s="34">
        <f>Q190+Костромаэнерго!D190</f>
        <v>0.23700000000000002</v>
      </c>
      <c r="S190" s="34">
        <v>0.08</v>
      </c>
      <c r="T190" s="14">
        <v>120</v>
      </c>
      <c r="U190" s="50">
        <f t="shared" si="22"/>
        <v>0.15700000000000003</v>
      </c>
      <c r="V190" s="51">
        <v>0</v>
      </c>
      <c r="W190" s="30">
        <f>1.05*1.6</f>
        <v>1.6800000000000002</v>
      </c>
      <c r="X190" s="83">
        <f t="shared" si="23"/>
        <v>1.5230000000000001</v>
      </c>
      <c r="Y190" s="82">
        <f>X190</f>
        <v>1.5230000000000001</v>
      </c>
      <c r="Z190" s="74" t="str">
        <f>IF(Y190&lt;0,"closed","opened")</f>
        <v>opened</v>
      </c>
    </row>
    <row r="191" spans="1:26" s="69" customFormat="1" ht="25.5">
      <c r="A191" s="198">
        <v>138</v>
      </c>
      <c r="B191" s="31" t="s">
        <v>126</v>
      </c>
      <c r="C191" s="28" t="s">
        <v>2</v>
      </c>
      <c r="D191" s="119">
        <v>7.54</v>
      </c>
      <c r="E191" s="95">
        <f>E193+E192</f>
        <v>0.8</v>
      </c>
      <c r="F191" s="14">
        <v>120</v>
      </c>
      <c r="G191" s="16">
        <f t="shared" si="21"/>
        <v>6.74</v>
      </c>
      <c r="H191" s="93">
        <v>0</v>
      </c>
      <c r="I191" s="30">
        <f>1.05*10</f>
        <v>10.5</v>
      </c>
      <c r="J191" s="30">
        <f t="shared" si="20"/>
        <v>3.76</v>
      </c>
      <c r="K191" s="206">
        <f>MIN(J191:J193)</f>
        <v>3.76</v>
      </c>
      <c r="L191" s="202" t="str">
        <f>IF(K191&lt;0,"closed","opened")</f>
        <v>opened</v>
      </c>
      <c r="M191" s="104"/>
      <c r="N191" s="198">
        <v>138</v>
      </c>
      <c r="O191" s="31" t="s">
        <v>126</v>
      </c>
      <c r="P191" s="65" t="s">
        <v>2</v>
      </c>
      <c r="Q191" s="146">
        <v>0.064</v>
      </c>
      <c r="R191" s="34">
        <f>Q191+Костромаэнерго!D191</f>
        <v>7.604</v>
      </c>
      <c r="S191" s="101">
        <f>S193+S192</f>
        <v>0.8</v>
      </c>
      <c r="T191" s="14">
        <v>120</v>
      </c>
      <c r="U191" s="50">
        <f t="shared" si="22"/>
        <v>6.804</v>
      </c>
      <c r="V191" s="51">
        <v>0</v>
      </c>
      <c r="W191" s="30">
        <f>1.05*10</f>
        <v>10.5</v>
      </c>
      <c r="X191" s="83">
        <f t="shared" si="23"/>
        <v>3.6959999999999997</v>
      </c>
      <c r="Y191" s="201">
        <f>MIN(X191:X193)</f>
        <v>3.6959999999999997</v>
      </c>
      <c r="Z191" s="202" t="str">
        <f>IF(Y191&lt;0,"closed","opened")</f>
        <v>opened</v>
      </c>
    </row>
    <row r="192" spans="1:26" s="69" customFormat="1" ht="15">
      <c r="A192" s="199"/>
      <c r="B192" s="261" t="s">
        <v>48</v>
      </c>
      <c r="C192" s="28" t="s">
        <v>2</v>
      </c>
      <c r="D192" s="99">
        <v>5.36</v>
      </c>
      <c r="E192" s="34">
        <v>0</v>
      </c>
      <c r="F192" s="14">
        <v>120</v>
      </c>
      <c r="G192" s="16">
        <f t="shared" si="21"/>
        <v>5.36</v>
      </c>
      <c r="H192" s="93">
        <v>0</v>
      </c>
      <c r="I192" s="30">
        <f>1.05*10</f>
        <v>10.5</v>
      </c>
      <c r="J192" s="30">
        <f>I192-D192</f>
        <v>5.14</v>
      </c>
      <c r="K192" s="207"/>
      <c r="L192" s="203"/>
      <c r="M192" s="104"/>
      <c r="N192" s="199"/>
      <c r="O192" s="261" t="s">
        <v>48</v>
      </c>
      <c r="P192" s="65" t="s">
        <v>2</v>
      </c>
      <c r="Q192" s="158">
        <v>0</v>
      </c>
      <c r="R192" s="34">
        <f>Q192+Костромаэнерго!D192</f>
        <v>5.36</v>
      </c>
      <c r="S192" s="34">
        <v>0</v>
      </c>
      <c r="T192" s="14">
        <v>120</v>
      </c>
      <c r="U192" s="50">
        <f t="shared" si="22"/>
        <v>5.36</v>
      </c>
      <c r="V192" s="51">
        <v>0</v>
      </c>
      <c r="W192" s="30">
        <f>1.05*10</f>
        <v>10.5</v>
      </c>
      <c r="X192" s="83">
        <f t="shared" si="23"/>
        <v>5.14</v>
      </c>
      <c r="Y192" s="201"/>
      <c r="Z192" s="203"/>
    </row>
    <row r="193" spans="1:26" s="69" customFormat="1" ht="15">
      <c r="A193" s="200"/>
      <c r="B193" s="261" t="s">
        <v>48</v>
      </c>
      <c r="C193" s="28" t="s">
        <v>2</v>
      </c>
      <c r="D193" s="99">
        <v>2.18</v>
      </c>
      <c r="E193" s="34">
        <v>0.8</v>
      </c>
      <c r="F193" s="14">
        <v>120</v>
      </c>
      <c r="G193" s="16">
        <f t="shared" si="21"/>
        <v>1.3800000000000001</v>
      </c>
      <c r="H193" s="93">
        <v>0</v>
      </c>
      <c r="I193" s="30">
        <f>1.05*10</f>
        <v>10.5</v>
      </c>
      <c r="J193" s="30">
        <f t="shared" si="20"/>
        <v>9.12</v>
      </c>
      <c r="K193" s="208"/>
      <c r="L193" s="203"/>
      <c r="M193" s="104"/>
      <c r="N193" s="200"/>
      <c r="O193" s="261" t="s">
        <v>48</v>
      </c>
      <c r="P193" s="65" t="s">
        <v>2</v>
      </c>
      <c r="Q193" s="146">
        <v>0.064</v>
      </c>
      <c r="R193" s="34">
        <f>Q193+Костромаэнерго!D193</f>
        <v>2.244</v>
      </c>
      <c r="S193" s="34">
        <v>0.8</v>
      </c>
      <c r="T193" s="14">
        <v>120</v>
      </c>
      <c r="U193" s="50">
        <f t="shared" si="22"/>
        <v>1.4440000000000002</v>
      </c>
      <c r="V193" s="51">
        <v>0</v>
      </c>
      <c r="W193" s="30">
        <f>1.05*10</f>
        <v>10.5</v>
      </c>
      <c r="X193" s="83">
        <f t="shared" si="23"/>
        <v>9.056</v>
      </c>
      <c r="Y193" s="201"/>
      <c r="Z193" s="203"/>
    </row>
    <row r="194" spans="1:26" s="69" customFormat="1" ht="25.5">
      <c r="A194" s="73">
        <v>139</v>
      </c>
      <c r="B194" s="31" t="s">
        <v>127</v>
      </c>
      <c r="C194" s="28" t="s">
        <v>4</v>
      </c>
      <c r="D194" s="119">
        <v>1.19</v>
      </c>
      <c r="E194" s="34">
        <v>0</v>
      </c>
      <c r="F194" s="14">
        <v>0</v>
      </c>
      <c r="G194" s="16">
        <f t="shared" si="21"/>
        <v>1.19</v>
      </c>
      <c r="H194" s="93">
        <v>0</v>
      </c>
      <c r="I194" s="30">
        <f>1.05*2.5</f>
        <v>2.625</v>
      </c>
      <c r="J194" s="30">
        <f t="shared" si="20"/>
        <v>1.435</v>
      </c>
      <c r="K194" s="33">
        <f>J194</f>
        <v>1.435</v>
      </c>
      <c r="L194" s="18" t="str">
        <f>IF(K194&lt;0,"closed","opened")</f>
        <v>opened</v>
      </c>
      <c r="M194" s="104"/>
      <c r="N194" s="73">
        <v>139</v>
      </c>
      <c r="O194" s="31" t="s">
        <v>127</v>
      </c>
      <c r="P194" s="65" t="s">
        <v>4</v>
      </c>
      <c r="Q194" s="131">
        <v>0.034</v>
      </c>
      <c r="R194" s="34">
        <f>Q194+Костромаэнерго!D194</f>
        <v>1.224</v>
      </c>
      <c r="S194" s="34">
        <v>0</v>
      </c>
      <c r="T194" s="14">
        <v>0</v>
      </c>
      <c r="U194" s="50">
        <f t="shared" si="22"/>
        <v>1.224</v>
      </c>
      <c r="V194" s="51">
        <v>0</v>
      </c>
      <c r="W194" s="30">
        <f>1.05*2.5</f>
        <v>2.625</v>
      </c>
      <c r="X194" s="83">
        <f t="shared" si="23"/>
        <v>1.401</v>
      </c>
      <c r="Y194" s="82">
        <f>X194</f>
        <v>1.401</v>
      </c>
      <c r="Z194" s="18" t="str">
        <f>IF(Y194&lt;0,"closed","opened")</f>
        <v>opened</v>
      </c>
    </row>
    <row r="195" spans="1:26" s="69" customFormat="1" ht="25.5">
      <c r="A195" s="73">
        <v>140</v>
      </c>
      <c r="B195" s="31" t="s">
        <v>128</v>
      </c>
      <c r="C195" s="28" t="s">
        <v>5</v>
      </c>
      <c r="D195" s="119">
        <v>3</v>
      </c>
      <c r="E195" s="34">
        <v>1.58</v>
      </c>
      <c r="F195" s="14">
        <v>120</v>
      </c>
      <c r="G195" s="16">
        <f t="shared" si="21"/>
        <v>1.42</v>
      </c>
      <c r="H195" s="93">
        <v>0</v>
      </c>
      <c r="I195" s="30">
        <f>1.05*4</f>
        <v>4.2</v>
      </c>
      <c r="J195" s="30">
        <f t="shared" si="20"/>
        <v>2.7800000000000002</v>
      </c>
      <c r="K195" s="33">
        <f aca="true" t="shared" si="30" ref="K195:K201">J195</f>
        <v>2.7800000000000002</v>
      </c>
      <c r="L195" s="18" t="str">
        <f>IF(K195&lt;0,"closed","opened")</f>
        <v>opened</v>
      </c>
      <c r="M195" s="104"/>
      <c r="N195" s="73">
        <v>140</v>
      </c>
      <c r="O195" s="31" t="s">
        <v>128</v>
      </c>
      <c r="P195" s="65" t="s">
        <v>5</v>
      </c>
      <c r="Q195" s="131">
        <v>0.161</v>
      </c>
      <c r="R195" s="34">
        <f>Q195+Костромаэнерго!D195</f>
        <v>3.161</v>
      </c>
      <c r="S195" s="34">
        <v>1.58</v>
      </c>
      <c r="T195" s="14">
        <v>120</v>
      </c>
      <c r="U195" s="50">
        <f t="shared" si="22"/>
        <v>1.581</v>
      </c>
      <c r="V195" s="51">
        <v>0</v>
      </c>
      <c r="W195" s="30">
        <f>1.05*4</f>
        <v>4.2</v>
      </c>
      <c r="X195" s="83">
        <f t="shared" si="23"/>
        <v>2.619</v>
      </c>
      <c r="Y195" s="82">
        <f aca="true" t="shared" si="31" ref="Y195:Y201">X195</f>
        <v>2.619</v>
      </c>
      <c r="Z195" s="18" t="str">
        <f>IF(Y195&lt;0,"closed","opened")</f>
        <v>opened</v>
      </c>
    </row>
    <row r="196" spans="1:26" s="69" customFormat="1" ht="25.5">
      <c r="A196" s="73">
        <v>141</v>
      </c>
      <c r="B196" s="31" t="s">
        <v>129</v>
      </c>
      <c r="C196" s="28" t="s">
        <v>10</v>
      </c>
      <c r="D196" s="119">
        <v>0.18</v>
      </c>
      <c r="E196" s="34">
        <v>0</v>
      </c>
      <c r="F196" s="14">
        <v>0</v>
      </c>
      <c r="G196" s="15">
        <f t="shared" si="21"/>
        <v>0.18</v>
      </c>
      <c r="H196" s="93">
        <v>0</v>
      </c>
      <c r="I196" s="30">
        <f>1.05*1</f>
        <v>1.05</v>
      </c>
      <c r="J196" s="30">
        <f t="shared" si="20"/>
        <v>0.8700000000000001</v>
      </c>
      <c r="K196" s="33">
        <f t="shared" si="30"/>
        <v>0.8700000000000001</v>
      </c>
      <c r="L196" s="74" t="str">
        <f>IF(K196&lt;0,"closed","opened")</f>
        <v>opened</v>
      </c>
      <c r="M196" s="104"/>
      <c r="N196" s="73">
        <v>141</v>
      </c>
      <c r="O196" s="31" t="s">
        <v>129</v>
      </c>
      <c r="P196" s="65" t="s">
        <v>10</v>
      </c>
      <c r="Q196" s="131">
        <v>0.077</v>
      </c>
      <c r="R196" s="34">
        <f>Q196+Костромаэнерго!D196</f>
        <v>0.257</v>
      </c>
      <c r="S196" s="34">
        <v>0</v>
      </c>
      <c r="T196" s="14">
        <v>0</v>
      </c>
      <c r="U196" s="50">
        <f t="shared" si="22"/>
        <v>0.257</v>
      </c>
      <c r="V196" s="51">
        <v>0</v>
      </c>
      <c r="W196" s="30">
        <f>1.05*1</f>
        <v>1.05</v>
      </c>
      <c r="X196" s="83">
        <f t="shared" si="23"/>
        <v>0.793</v>
      </c>
      <c r="Y196" s="82">
        <f t="shared" si="31"/>
        <v>0.793</v>
      </c>
      <c r="Z196" s="74" t="str">
        <f>IF(Y196&lt;0,"closed","opened")</f>
        <v>opened</v>
      </c>
    </row>
    <row r="197" spans="1:26" s="69" customFormat="1" ht="25.5">
      <c r="A197" s="73">
        <v>142</v>
      </c>
      <c r="B197" s="31" t="s">
        <v>130</v>
      </c>
      <c r="C197" s="28" t="s">
        <v>24</v>
      </c>
      <c r="D197" s="119">
        <v>0.81</v>
      </c>
      <c r="E197" s="34">
        <v>0.1</v>
      </c>
      <c r="F197" s="14">
        <v>120</v>
      </c>
      <c r="G197" s="19">
        <f t="shared" si="21"/>
        <v>0.7100000000000001</v>
      </c>
      <c r="H197" s="93">
        <v>0</v>
      </c>
      <c r="I197" s="30">
        <f>1.05*1</f>
        <v>1.05</v>
      </c>
      <c r="J197" s="30">
        <f t="shared" si="20"/>
        <v>0.33999999999999997</v>
      </c>
      <c r="K197" s="33">
        <f t="shared" si="30"/>
        <v>0.33999999999999997</v>
      </c>
      <c r="L197" s="18" t="str">
        <f>IF(K197&lt;0,"closed","opened")</f>
        <v>opened</v>
      </c>
      <c r="M197" s="104"/>
      <c r="N197" s="73">
        <v>142</v>
      </c>
      <c r="O197" s="31" t="s">
        <v>130</v>
      </c>
      <c r="P197" s="65" t="s">
        <v>24</v>
      </c>
      <c r="Q197" s="131">
        <v>0</v>
      </c>
      <c r="R197" s="34">
        <f>Q197+Костромаэнерго!D197</f>
        <v>0.81</v>
      </c>
      <c r="S197" s="34">
        <v>0.1</v>
      </c>
      <c r="T197" s="14">
        <v>120</v>
      </c>
      <c r="U197" s="50">
        <f t="shared" si="22"/>
        <v>0.7100000000000001</v>
      </c>
      <c r="V197" s="51">
        <v>0</v>
      </c>
      <c r="W197" s="30">
        <f>1.05*1</f>
        <v>1.05</v>
      </c>
      <c r="X197" s="83">
        <f t="shared" si="23"/>
        <v>0.33999999999999997</v>
      </c>
      <c r="Y197" s="82">
        <f t="shared" si="31"/>
        <v>0.33999999999999997</v>
      </c>
      <c r="Z197" s="18" t="str">
        <f>IF(Y197&lt;0,"closed","opened")</f>
        <v>opened</v>
      </c>
    </row>
    <row r="198" spans="1:26" s="69" customFormat="1" ht="25.5">
      <c r="A198" s="73">
        <v>143</v>
      </c>
      <c r="B198" s="31" t="s">
        <v>131</v>
      </c>
      <c r="C198" s="28" t="s">
        <v>22</v>
      </c>
      <c r="D198" s="119">
        <v>0.39</v>
      </c>
      <c r="E198" s="34">
        <v>0.32</v>
      </c>
      <c r="F198" s="14">
        <v>120</v>
      </c>
      <c r="G198" s="19">
        <f t="shared" si="21"/>
        <v>0.07</v>
      </c>
      <c r="H198" s="93">
        <v>0</v>
      </c>
      <c r="I198" s="30">
        <f>1.05*1.6</f>
        <v>1.6800000000000002</v>
      </c>
      <c r="J198" s="30">
        <f t="shared" si="20"/>
        <v>1.61</v>
      </c>
      <c r="K198" s="33">
        <f t="shared" si="30"/>
        <v>1.61</v>
      </c>
      <c r="L198" s="18" t="str">
        <f>IF(K198&lt;0,"closed","opened")</f>
        <v>opened</v>
      </c>
      <c r="M198" s="104"/>
      <c r="N198" s="73">
        <v>143</v>
      </c>
      <c r="O198" s="31" t="s">
        <v>131</v>
      </c>
      <c r="P198" s="65" t="s">
        <v>22</v>
      </c>
      <c r="Q198" s="131">
        <v>0.004</v>
      </c>
      <c r="R198" s="34">
        <f>Q198+Костромаэнерго!D198</f>
        <v>0.394</v>
      </c>
      <c r="S198" s="34">
        <v>0.32</v>
      </c>
      <c r="T198" s="14">
        <v>120</v>
      </c>
      <c r="U198" s="50">
        <f t="shared" si="22"/>
        <v>0.07400000000000001</v>
      </c>
      <c r="V198" s="51">
        <v>0</v>
      </c>
      <c r="W198" s="30">
        <f>1.05*1.6</f>
        <v>1.6800000000000002</v>
      </c>
      <c r="X198" s="83">
        <f t="shared" si="23"/>
        <v>1.606</v>
      </c>
      <c r="Y198" s="82">
        <f t="shared" si="31"/>
        <v>1.606</v>
      </c>
      <c r="Z198" s="18" t="str">
        <f>IF(Y198&lt;0,"closed","opened")</f>
        <v>opened</v>
      </c>
    </row>
    <row r="199" spans="1:26" s="69" customFormat="1" ht="25.5">
      <c r="A199" s="73">
        <v>144</v>
      </c>
      <c r="B199" s="31" t="s">
        <v>132</v>
      </c>
      <c r="C199" s="28" t="s">
        <v>0</v>
      </c>
      <c r="D199" s="119">
        <v>2.58</v>
      </c>
      <c r="E199" s="34">
        <v>0</v>
      </c>
      <c r="F199" s="14">
        <v>0</v>
      </c>
      <c r="G199" s="19">
        <f t="shared" si="21"/>
        <v>2.58</v>
      </c>
      <c r="H199" s="93">
        <v>0</v>
      </c>
      <c r="I199" s="30">
        <f>1.05*25</f>
        <v>26.25</v>
      </c>
      <c r="J199" s="30">
        <f t="shared" si="20"/>
        <v>23.67</v>
      </c>
      <c r="K199" s="33">
        <f t="shared" si="30"/>
        <v>23.67</v>
      </c>
      <c r="L199" s="18" t="str">
        <f>IF(K199&lt;0,"closed","opened")</f>
        <v>opened</v>
      </c>
      <c r="M199" s="104"/>
      <c r="N199" s="73">
        <v>144</v>
      </c>
      <c r="O199" s="31" t="s">
        <v>132</v>
      </c>
      <c r="P199" s="65" t="s">
        <v>0</v>
      </c>
      <c r="Q199" s="131">
        <v>0.189</v>
      </c>
      <c r="R199" s="34">
        <f>Q199+Костромаэнерго!D199</f>
        <v>2.769</v>
      </c>
      <c r="S199" s="34">
        <v>0</v>
      </c>
      <c r="T199" s="14">
        <v>0</v>
      </c>
      <c r="U199" s="50">
        <f t="shared" si="22"/>
        <v>2.769</v>
      </c>
      <c r="V199" s="51">
        <v>0</v>
      </c>
      <c r="W199" s="30">
        <f>1.05*25</f>
        <v>26.25</v>
      </c>
      <c r="X199" s="83">
        <f t="shared" si="23"/>
        <v>23.481</v>
      </c>
      <c r="Y199" s="82">
        <f t="shared" si="31"/>
        <v>23.481</v>
      </c>
      <c r="Z199" s="18" t="str">
        <f>IF(Y199&lt;0,"closed","opened")</f>
        <v>opened</v>
      </c>
    </row>
    <row r="200" spans="1:26" s="69" customFormat="1" ht="25.5">
      <c r="A200" s="73">
        <v>145</v>
      </c>
      <c r="B200" s="31" t="s">
        <v>133</v>
      </c>
      <c r="C200" s="28" t="s">
        <v>25</v>
      </c>
      <c r="D200" s="119">
        <v>0.44</v>
      </c>
      <c r="E200" s="34">
        <v>0.15</v>
      </c>
      <c r="F200" s="14">
        <v>120</v>
      </c>
      <c r="G200" s="19">
        <f t="shared" si="21"/>
        <v>0.29000000000000004</v>
      </c>
      <c r="H200" s="93">
        <v>0</v>
      </c>
      <c r="I200" s="30">
        <f>1.05*1.6</f>
        <v>1.6800000000000002</v>
      </c>
      <c r="J200" s="30">
        <f aca="true" t="shared" si="32" ref="J200:J231">I200-G200-H200</f>
        <v>1.3900000000000001</v>
      </c>
      <c r="K200" s="33">
        <f t="shared" si="30"/>
        <v>1.3900000000000001</v>
      </c>
      <c r="L200" s="18" t="str">
        <f>IF(K200&lt;0,"closed","opened")</f>
        <v>opened</v>
      </c>
      <c r="M200" s="104"/>
      <c r="N200" s="73">
        <v>145</v>
      </c>
      <c r="O200" s="31" t="s">
        <v>133</v>
      </c>
      <c r="P200" s="65" t="s">
        <v>25</v>
      </c>
      <c r="Q200" s="131">
        <v>0.077</v>
      </c>
      <c r="R200" s="34">
        <f>Q200+Костромаэнерго!D200</f>
        <v>0.517</v>
      </c>
      <c r="S200" s="34">
        <v>0.15</v>
      </c>
      <c r="T200" s="14">
        <v>120</v>
      </c>
      <c r="U200" s="50">
        <f t="shared" si="22"/>
        <v>0.367</v>
      </c>
      <c r="V200" s="51">
        <v>0</v>
      </c>
      <c r="W200" s="30">
        <f>1.05*1.6</f>
        <v>1.6800000000000002</v>
      </c>
      <c r="X200" s="83">
        <f t="shared" si="23"/>
        <v>1.3130000000000002</v>
      </c>
      <c r="Y200" s="82">
        <f t="shared" si="31"/>
        <v>1.3130000000000002</v>
      </c>
      <c r="Z200" s="18" t="str">
        <f>IF(Y200&lt;0,"closed","opened")</f>
        <v>opened</v>
      </c>
    </row>
    <row r="201" spans="1:26" s="69" customFormat="1" ht="25.5">
      <c r="A201" s="73">
        <v>146</v>
      </c>
      <c r="B201" s="31" t="s">
        <v>134</v>
      </c>
      <c r="C201" s="28" t="s">
        <v>4</v>
      </c>
      <c r="D201" s="119">
        <v>2.15</v>
      </c>
      <c r="E201" s="34">
        <v>1.23</v>
      </c>
      <c r="F201" s="14">
        <v>120</v>
      </c>
      <c r="G201" s="16">
        <f t="shared" si="21"/>
        <v>0.9199999999999999</v>
      </c>
      <c r="H201" s="93">
        <v>0</v>
      </c>
      <c r="I201" s="30">
        <f>1.05*2.5</f>
        <v>2.625</v>
      </c>
      <c r="J201" s="30">
        <f t="shared" si="32"/>
        <v>1.705</v>
      </c>
      <c r="K201" s="33">
        <f t="shared" si="30"/>
        <v>1.705</v>
      </c>
      <c r="L201" s="74" t="str">
        <f>IF(K201&lt;0,"closed","opened")</f>
        <v>opened</v>
      </c>
      <c r="M201" s="104"/>
      <c r="N201" s="73">
        <v>146</v>
      </c>
      <c r="O201" s="31" t="s">
        <v>134</v>
      </c>
      <c r="P201" s="65" t="s">
        <v>4</v>
      </c>
      <c r="Q201" s="131">
        <v>0.099</v>
      </c>
      <c r="R201" s="34">
        <f>Q201+Костромаэнерго!D201</f>
        <v>2.249</v>
      </c>
      <c r="S201" s="34">
        <v>1.23</v>
      </c>
      <c r="T201" s="14">
        <v>120</v>
      </c>
      <c r="U201" s="50">
        <f t="shared" si="22"/>
        <v>1.0190000000000001</v>
      </c>
      <c r="V201" s="51">
        <v>0</v>
      </c>
      <c r="W201" s="30">
        <f>1.05*2.5</f>
        <v>2.625</v>
      </c>
      <c r="X201" s="83">
        <f t="shared" si="23"/>
        <v>1.6059999999999999</v>
      </c>
      <c r="Y201" s="82">
        <f t="shared" si="31"/>
        <v>1.6059999999999999</v>
      </c>
      <c r="Z201" s="74" t="str">
        <f>IF(Y201&lt;0,"closed","opened")</f>
        <v>opened</v>
      </c>
    </row>
    <row r="202" spans="1:26" s="69" customFormat="1" ht="25.5">
      <c r="A202" s="198">
        <v>147</v>
      </c>
      <c r="B202" s="31" t="s">
        <v>135</v>
      </c>
      <c r="C202" s="28" t="s">
        <v>26</v>
      </c>
      <c r="D202" s="119">
        <v>16.05</v>
      </c>
      <c r="E202" s="95">
        <f>E204+E203</f>
        <v>3.6</v>
      </c>
      <c r="F202" s="14">
        <v>120</v>
      </c>
      <c r="G202" s="15">
        <f aca="true" t="shared" si="33" ref="G202:G231">D202-E202</f>
        <v>12.450000000000001</v>
      </c>
      <c r="H202" s="93">
        <v>0</v>
      </c>
      <c r="I202" s="30">
        <f>1.05*(40+6.3)</f>
        <v>48.615</v>
      </c>
      <c r="J202" s="30">
        <f t="shared" si="32"/>
        <v>36.165</v>
      </c>
      <c r="K202" s="206">
        <f>MIN(J202:J204)</f>
        <v>36.165</v>
      </c>
      <c r="L202" s="202" t="str">
        <f>IF(K202&lt;0,"closed","opened")</f>
        <v>opened</v>
      </c>
      <c r="M202" s="104"/>
      <c r="N202" s="198">
        <v>147</v>
      </c>
      <c r="O202" s="31" t="s">
        <v>135</v>
      </c>
      <c r="P202" s="65" t="s">
        <v>26</v>
      </c>
      <c r="Q202" s="146">
        <v>0.562</v>
      </c>
      <c r="R202" s="34">
        <f>Q202+Костромаэнерго!D202</f>
        <v>16.612000000000002</v>
      </c>
      <c r="S202" s="101">
        <f>S204+S203</f>
        <v>3.6</v>
      </c>
      <c r="T202" s="14">
        <v>120</v>
      </c>
      <c r="U202" s="50">
        <f aca="true" t="shared" si="34" ref="U202:U231">R202-S202</f>
        <v>13.012000000000002</v>
      </c>
      <c r="V202" s="51">
        <v>0</v>
      </c>
      <c r="W202" s="30">
        <f>1.05*(40+6.3)</f>
        <v>48.615</v>
      </c>
      <c r="X202" s="83">
        <f aca="true" t="shared" si="35" ref="X202:X231">W202-V202-U202</f>
        <v>35.603</v>
      </c>
      <c r="Y202" s="201">
        <f>MIN(X202:X204)</f>
        <v>35.603</v>
      </c>
      <c r="Z202" s="202" t="str">
        <f>IF(Y202&lt;0,"closed","opened")</f>
        <v>opened</v>
      </c>
    </row>
    <row r="203" spans="1:26" s="69" customFormat="1" ht="15">
      <c r="A203" s="199"/>
      <c r="B203" s="261" t="s">
        <v>48</v>
      </c>
      <c r="C203" s="28" t="s">
        <v>26</v>
      </c>
      <c r="D203" s="99">
        <v>8.53</v>
      </c>
      <c r="E203" s="34">
        <v>0</v>
      </c>
      <c r="F203" s="14">
        <v>120</v>
      </c>
      <c r="G203" s="19">
        <f t="shared" si="33"/>
        <v>8.53</v>
      </c>
      <c r="H203" s="93">
        <v>0</v>
      </c>
      <c r="I203" s="30">
        <f>1.05*(40+6.3)</f>
        <v>48.615</v>
      </c>
      <c r="J203" s="30">
        <f>I203-D203</f>
        <v>40.085</v>
      </c>
      <c r="K203" s="207"/>
      <c r="L203" s="203"/>
      <c r="M203" s="104"/>
      <c r="N203" s="199"/>
      <c r="O203" s="261" t="s">
        <v>48</v>
      </c>
      <c r="P203" s="65" t="s">
        <v>26</v>
      </c>
      <c r="Q203" s="158">
        <v>0</v>
      </c>
      <c r="R203" s="34">
        <f>Q203+Костромаэнерго!D203</f>
        <v>8.53</v>
      </c>
      <c r="S203" s="34">
        <v>0</v>
      </c>
      <c r="T203" s="14">
        <v>120</v>
      </c>
      <c r="U203" s="50">
        <f t="shared" si="34"/>
        <v>8.53</v>
      </c>
      <c r="V203" s="51">
        <v>0</v>
      </c>
      <c r="W203" s="30">
        <f>1.05*(40+6.3)</f>
        <v>48.615</v>
      </c>
      <c r="X203" s="83">
        <f t="shared" si="35"/>
        <v>40.085</v>
      </c>
      <c r="Y203" s="201"/>
      <c r="Z203" s="203"/>
    </row>
    <row r="204" spans="1:26" s="69" customFormat="1" ht="15">
      <c r="A204" s="200"/>
      <c r="B204" s="261" t="s">
        <v>49</v>
      </c>
      <c r="C204" s="28" t="s">
        <v>26</v>
      </c>
      <c r="D204" s="99">
        <v>7.52</v>
      </c>
      <c r="E204" s="34">
        <v>3.6</v>
      </c>
      <c r="F204" s="14">
        <v>120</v>
      </c>
      <c r="G204" s="19">
        <f t="shared" si="33"/>
        <v>3.9199999999999995</v>
      </c>
      <c r="H204" s="93">
        <v>0</v>
      </c>
      <c r="I204" s="30">
        <f>1.05*(40+6.3)</f>
        <v>48.615</v>
      </c>
      <c r="J204" s="30">
        <f t="shared" si="32"/>
        <v>44.695</v>
      </c>
      <c r="K204" s="208"/>
      <c r="L204" s="204"/>
      <c r="M204" s="104"/>
      <c r="N204" s="200"/>
      <c r="O204" s="261" t="s">
        <v>49</v>
      </c>
      <c r="P204" s="65" t="s">
        <v>26</v>
      </c>
      <c r="Q204" s="146">
        <v>0.562</v>
      </c>
      <c r="R204" s="34">
        <f>Q204+Костромаэнерго!D204</f>
        <v>8.081999999999999</v>
      </c>
      <c r="S204" s="34">
        <v>3.6</v>
      </c>
      <c r="T204" s="14">
        <v>120</v>
      </c>
      <c r="U204" s="50">
        <f t="shared" si="34"/>
        <v>4.481999999999999</v>
      </c>
      <c r="V204" s="51">
        <v>0</v>
      </c>
      <c r="W204" s="30">
        <f>1.05*(40+6.3)</f>
        <v>48.615</v>
      </c>
      <c r="X204" s="83">
        <f t="shared" si="35"/>
        <v>44.133</v>
      </c>
      <c r="Y204" s="201"/>
      <c r="Z204" s="204"/>
    </row>
    <row r="205" spans="1:26" s="69" customFormat="1" ht="25.5">
      <c r="A205" s="73">
        <v>148</v>
      </c>
      <c r="B205" s="31" t="s">
        <v>136</v>
      </c>
      <c r="C205" s="28" t="s">
        <v>6</v>
      </c>
      <c r="D205" s="119">
        <v>0.15</v>
      </c>
      <c r="E205" s="34">
        <v>0.12</v>
      </c>
      <c r="F205" s="14">
        <v>120</v>
      </c>
      <c r="G205" s="16">
        <f t="shared" si="33"/>
        <v>0.03</v>
      </c>
      <c r="H205" s="93">
        <v>0</v>
      </c>
      <c r="I205" s="30">
        <f>1.05*1.6</f>
        <v>1.6800000000000002</v>
      </c>
      <c r="J205" s="30">
        <f t="shared" si="32"/>
        <v>1.6500000000000001</v>
      </c>
      <c r="K205" s="33">
        <f>J205</f>
        <v>1.6500000000000001</v>
      </c>
      <c r="L205" s="18" t="str">
        <f>IF(K205&lt;0,"closed","opened")</f>
        <v>opened</v>
      </c>
      <c r="M205" s="104"/>
      <c r="N205" s="73">
        <v>148</v>
      </c>
      <c r="O205" s="31" t="s">
        <v>136</v>
      </c>
      <c r="P205" s="65" t="s">
        <v>6</v>
      </c>
      <c r="Q205" s="131">
        <v>0</v>
      </c>
      <c r="R205" s="34">
        <f>Q205+Костромаэнерго!D205</f>
        <v>0.15</v>
      </c>
      <c r="S205" s="34">
        <v>0.12</v>
      </c>
      <c r="T205" s="14">
        <v>120</v>
      </c>
      <c r="U205" s="50">
        <f t="shared" si="34"/>
        <v>0.03</v>
      </c>
      <c r="V205" s="51">
        <v>0</v>
      </c>
      <c r="W205" s="30">
        <f>1.05*1.6</f>
        <v>1.6800000000000002</v>
      </c>
      <c r="X205" s="83">
        <f t="shared" si="35"/>
        <v>1.6500000000000001</v>
      </c>
      <c r="Y205" s="82">
        <f>X205</f>
        <v>1.6500000000000001</v>
      </c>
      <c r="Z205" s="18" t="str">
        <f>IF(Y205&lt;0,"closed","opened")</f>
        <v>opened</v>
      </c>
    </row>
    <row r="206" spans="1:26" s="69" customFormat="1" ht="25.5">
      <c r="A206" s="73">
        <v>149</v>
      </c>
      <c r="B206" s="31" t="s">
        <v>137</v>
      </c>
      <c r="C206" s="28" t="s">
        <v>27</v>
      </c>
      <c r="D206" s="119">
        <v>0.51</v>
      </c>
      <c r="E206" s="34">
        <v>0.42</v>
      </c>
      <c r="F206" s="14">
        <v>120</v>
      </c>
      <c r="G206" s="16">
        <f t="shared" si="33"/>
        <v>0.09000000000000002</v>
      </c>
      <c r="H206" s="93">
        <v>0</v>
      </c>
      <c r="I206" s="30">
        <f>1.05*1.8</f>
        <v>1.8900000000000001</v>
      </c>
      <c r="J206" s="30">
        <f t="shared" si="32"/>
        <v>1.8</v>
      </c>
      <c r="K206" s="33">
        <f>J206</f>
        <v>1.8</v>
      </c>
      <c r="L206" s="74" t="str">
        <f>IF(K206&lt;0,"closed","opened")</f>
        <v>opened</v>
      </c>
      <c r="M206" s="104"/>
      <c r="N206" s="73">
        <v>149</v>
      </c>
      <c r="O206" s="31" t="s">
        <v>137</v>
      </c>
      <c r="P206" s="65" t="s">
        <v>27</v>
      </c>
      <c r="Q206" s="131">
        <v>0</v>
      </c>
      <c r="R206" s="34">
        <f>Q206+Костромаэнерго!D206</f>
        <v>0.51</v>
      </c>
      <c r="S206" s="34">
        <v>0.42</v>
      </c>
      <c r="T206" s="14">
        <v>120</v>
      </c>
      <c r="U206" s="50">
        <f t="shared" si="34"/>
        <v>0.09000000000000002</v>
      </c>
      <c r="V206" s="51">
        <v>0</v>
      </c>
      <c r="W206" s="30">
        <f>1.05*1.8</f>
        <v>1.8900000000000001</v>
      </c>
      <c r="X206" s="83">
        <f t="shared" si="35"/>
        <v>1.8</v>
      </c>
      <c r="Y206" s="82">
        <f>X206</f>
        <v>1.8</v>
      </c>
      <c r="Z206" s="74" t="str">
        <f>IF(Y206&lt;0,"closed","opened")</f>
        <v>opened</v>
      </c>
    </row>
    <row r="207" spans="1:26" s="69" customFormat="1" ht="25.5">
      <c r="A207" s="73">
        <v>150</v>
      </c>
      <c r="B207" s="31" t="s">
        <v>138</v>
      </c>
      <c r="C207" s="28" t="s">
        <v>5</v>
      </c>
      <c r="D207" s="119">
        <v>2.32</v>
      </c>
      <c r="E207" s="34">
        <v>1.89</v>
      </c>
      <c r="F207" s="14">
        <v>120</v>
      </c>
      <c r="G207" s="15">
        <f t="shared" si="33"/>
        <v>0.42999999999999994</v>
      </c>
      <c r="H207" s="93">
        <v>0</v>
      </c>
      <c r="I207" s="30">
        <f>1.05*4</f>
        <v>4.2</v>
      </c>
      <c r="J207" s="30">
        <f t="shared" si="32"/>
        <v>3.7700000000000005</v>
      </c>
      <c r="K207" s="33">
        <f>J207</f>
        <v>3.7700000000000005</v>
      </c>
      <c r="L207" s="18" t="str">
        <f>IF(K207&lt;0,"closed","opened")</f>
        <v>opened</v>
      </c>
      <c r="M207" s="104"/>
      <c r="N207" s="73">
        <v>150</v>
      </c>
      <c r="O207" s="31" t="s">
        <v>138</v>
      </c>
      <c r="P207" s="65" t="s">
        <v>5</v>
      </c>
      <c r="Q207" s="131">
        <v>0.036</v>
      </c>
      <c r="R207" s="34">
        <f>Q207+Костромаэнерго!D207</f>
        <v>2.356</v>
      </c>
      <c r="S207" s="34">
        <v>1.89</v>
      </c>
      <c r="T207" s="14">
        <v>120</v>
      </c>
      <c r="U207" s="50">
        <f t="shared" si="34"/>
        <v>0.46599999999999997</v>
      </c>
      <c r="V207" s="51">
        <v>0</v>
      </c>
      <c r="W207" s="30">
        <f>1.05*4</f>
        <v>4.2</v>
      </c>
      <c r="X207" s="83">
        <f t="shared" si="35"/>
        <v>3.734</v>
      </c>
      <c r="Y207" s="82">
        <f>X207</f>
        <v>3.734</v>
      </c>
      <c r="Z207" s="18" t="str">
        <f>IF(Y207&lt;0,"closed","opened")</f>
        <v>opened</v>
      </c>
    </row>
    <row r="208" spans="1:26" s="69" customFormat="1" ht="25.5">
      <c r="A208" s="198">
        <v>151</v>
      </c>
      <c r="B208" s="31" t="s">
        <v>139</v>
      </c>
      <c r="C208" s="28" t="s">
        <v>23</v>
      </c>
      <c r="D208" s="119">
        <v>5.42</v>
      </c>
      <c r="E208" s="95">
        <f>E210+E209</f>
        <v>0</v>
      </c>
      <c r="F208" s="14">
        <v>0</v>
      </c>
      <c r="G208" s="19">
        <f t="shared" si="33"/>
        <v>5.42</v>
      </c>
      <c r="H208" s="93">
        <v>0</v>
      </c>
      <c r="I208" s="30">
        <f>1.05*6.3</f>
        <v>6.615</v>
      </c>
      <c r="J208" s="30">
        <f t="shared" si="32"/>
        <v>1.1950000000000003</v>
      </c>
      <c r="K208" s="206">
        <f>MIN(J208:J210)</f>
        <v>1.1950000000000003</v>
      </c>
      <c r="L208" s="202" t="str">
        <f>IF(K208&lt;0,"closed","opened")</f>
        <v>opened</v>
      </c>
      <c r="M208" s="104"/>
      <c r="N208" s="198">
        <v>151</v>
      </c>
      <c r="O208" s="31" t="s">
        <v>139</v>
      </c>
      <c r="P208" s="65" t="s">
        <v>23</v>
      </c>
      <c r="Q208" s="146">
        <v>0.19</v>
      </c>
      <c r="R208" s="34">
        <f>Q208+Костромаэнерго!D208</f>
        <v>5.61</v>
      </c>
      <c r="S208" s="101">
        <f>S210+S209</f>
        <v>0</v>
      </c>
      <c r="T208" s="14">
        <v>0</v>
      </c>
      <c r="U208" s="50">
        <f t="shared" si="34"/>
        <v>5.61</v>
      </c>
      <c r="V208" s="51">
        <v>0</v>
      </c>
      <c r="W208" s="30">
        <f>1.05*6.3</f>
        <v>6.615</v>
      </c>
      <c r="X208" s="83">
        <f t="shared" si="35"/>
        <v>1.005</v>
      </c>
      <c r="Y208" s="201">
        <f>MIN(X208:X210)</f>
        <v>1.005</v>
      </c>
      <c r="Z208" s="202" t="str">
        <f>IF(Y208&lt;0,"closed","opened")</f>
        <v>opened</v>
      </c>
    </row>
    <row r="209" spans="1:26" s="69" customFormat="1" ht="15">
      <c r="A209" s="199"/>
      <c r="B209" s="261" t="s">
        <v>48</v>
      </c>
      <c r="C209" s="28" t="s">
        <v>23</v>
      </c>
      <c r="D209" s="99">
        <v>1.53</v>
      </c>
      <c r="E209" s="34">
        <v>0</v>
      </c>
      <c r="F209" s="14">
        <v>0</v>
      </c>
      <c r="G209" s="19">
        <f t="shared" si="33"/>
        <v>1.53</v>
      </c>
      <c r="H209" s="93">
        <v>0</v>
      </c>
      <c r="I209" s="30">
        <f>1.05*6.3</f>
        <v>6.615</v>
      </c>
      <c r="J209" s="30">
        <f>I209-D209</f>
        <v>5.085</v>
      </c>
      <c r="K209" s="207"/>
      <c r="L209" s="203"/>
      <c r="M209" s="104"/>
      <c r="N209" s="199"/>
      <c r="O209" s="261" t="s">
        <v>48</v>
      </c>
      <c r="P209" s="65" t="s">
        <v>23</v>
      </c>
      <c r="Q209" s="158">
        <v>0</v>
      </c>
      <c r="R209" s="34">
        <f>Q209+Костромаэнерго!D209</f>
        <v>1.53</v>
      </c>
      <c r="S209" s="34">
        <v>0</v>
      </c>
      <c r="T209" s="14">
        <v>0</v>
      </c>
      <c r="U209" s="50">
        <f t="shared" si="34"/>
        <v>1.53</v>
      </c>
      <c r="V209" s="51">
        <v>0</v>
      </c>
      <c r="W209" s="30">
        <f>1.05*6.3</f>
        <v>6.615</v>
      </c>
      <c r="X209" s="83">
        <f t="shared" si="35"/>
        <v>5.085</v>
      </c>
      <c r="Y209" s="201"/>
      <c r="Z209" s="203"/>
    </row>
    <row r="210" spans="1:26" s="69" customFormat="1" ht="15">
      <c r="A210" s="200"/>
      <c r="B210" s="261" t="s">
        <v>49</v>
      </c>
      <c r="C210" s="28" t="s">
        <v>23</v>
      </c>
      <c r="D210" s="99">
        <v>3.89</v>
      </c>
      <c r="E210" s="34">
        <v>0</v>
      </c>
      <c r="F210" s="14">
        <v>0</v>
      </c>
      <c r="G210" s="16">
        <f t="shared" si="33"/>
        <v>3.89</v>
      </c>
      <c r="H210" s="93">
        <v>0</v>
      </c>
      <c r="I210" s="30">
        <f>1.05*6.3</f>
        <v>6.615</v>
      </c>
      <c r="J210" s="30">
        <f t="shared" si="32"/>
        <v>2.725</v>
      </c>
      <c r="K210" s="208"/>
      <c r="L210" s="204"/>
      <c r="M210" s="104"/>
      <c r="N210" s="200"/>
      <c r="O210" s="261" t="s">
        <v>49</v>
      </c>
      <c r="P210" s="65" t="s">
        <v>23</v>
      </c>
      <c r="Q210" s="146">
        <v>0.19</v>
      </c>
      <c r="R210" s="34">
        <f>Q210+Костромаэнерго!D210</f>
        <v>4.08</v>
      </c>
      <c r="S210" s="34">
        <v>0</v>
      </c>
      <c r="T210" s="14">
        <v>0</v>
      </c>
      <c r="U210" s="50">
        <f t="shared" si="34"/>
        <v>4.08</v>
      </c>
      <c r="V210" s="51">
        <v>0</v>
      </c>
      <c r="W210" s="30">
        <f>1.05*6.3</f>
        <v>6.615</v>
      </c>
      <c r="X210" s="83">
        <f t="shared" si="35"/>
        <v>2.535</v>
      </c>
      <c r="Y210" s="201"/>
      <c r="Z210" s="204"/>
    </row>
    <row r="211" spans="1:26" s="69" customFormat="1" ht="25.5">
      <c r="A211" s="73">
        <v>152</v>
      </c>
      <c r="B211" s="31" t="s">
        <v>140</v>
      </c>
      <c r="C211" s="28" t="s">
        <v>4</v>
      </c>
      <c r="D211" s="119">
        <v>0.36</v>
      </c>
      <c r="E211" s="34">
        <v>0.05</v>
      </c>
      <c r="F211" s="14">
        <v>120</v>
      </c>
      <c r="G211" s="15">
        <f t="shared" si="33"/>
        <v>0.31</v>
      </c>
      <c r="H211" s="93">
        <v>0</v>
      </c>
      <c r="I211" s="30">
        <f>1.05*2.5</f>
        <v>2.625</v>
      </c>
      <c r="J211" s="30">
        <f t="shared" si="32"/>
        <v>2.315</v>
      </c>
      <c r="K211" s="33">
        <f>J211</f>
        <v>2.315</v>
      </c>
      <c r="L211" s="74" t="str">
        <f>IF(K211&lt;0,"closed","opened")</f>
        <v>opened</v>
      </c>
      <c r="M211" s="104"/>
      <c r="N211" s="73">
        <v>152</v>
      </c>
      <c r="O211" s="31" t="s">
        <v>140</v>
      </c>
      <c r="P211" s="65" t="s">
        <v>4</v>
      </c>
      <c r="Q211" s="131">
        <v>0</v>
      </c>
      <c r="R211" s="34">
        <f>Q211+Костромаэнерго!D211</f>
        <v>0.36</v>
      </c>
      <c r="S211" s="34">
        <v>0.05</v>
      </c>
      <c r="T211" s="14">
        <v>120</v>
      </c>
      <c r="U211" s="50">
        <f t="shared" si="34"/>
        <v>0.31</v>
      </c>
      <c r="V211" s="51">
        <v>0</v>
      </c>
      <c r="W211" s="30">
        <f>1.05*2.5</f>
        <v>2.625</v>
      </c>
      <c r="X211" s="83">
        <f t="shared" si="35"/>
        <v>2.315</v>
      </c>
      <c r="Y211" s="82">
        <f>X211</f>
        <v>2.315</v>
      </c>
      <c r="Z211" s="74" t="str">
        <f>IF(Y211&lt;0,"closed","opened")</f>
        <v>opened</v>
      </c>
    </row>
    <row r="212" spans="1:26" s="69" customFormat="1" ht="25.5">
      <c r="A212" s="73">
        <v>153</v>
      </c>
      <c r="B212" s="31" t="s">
        <v>141</v>
      </c>
      <c r="C212" s="28" t="s">
        <v>22</v>
      </c>
      <c r="D212" s="119">
        <v>0.35</v>
      </c>
      <c r="E212" s="34">
        <v>0.35</v>
      </c>
      <c r="F212" s="14">
        <v>120</v>
      </c>
      <c r="G212" s="16">
        <f t="shared" si="33"/>
        <v>0</v>
      </c>
      <c r="H212" s="93">
        <v>0</v>
      </c>
      <c r="I212" s="30">
        <f>1.05*1.6</f>
        <v>1.6800000000000002</v>
      </c>
      <c r="J212" s="30">
        <f t="shared" si="32"/>
        <v>1.6800000000000002</v>
      </c>
      <c r="K212" s="33">
        <f>J212</f>
        <v>1.6800000000000002</v>
      </c>
      <c r="L212" s="84" t="str">
        <f>IF(K212&lt;0,"closed","opened")</f>
        <v>opened</v>
      </c>
      <c r="M212" s="104"/>
      <c r="N212" s="73">
        <v>153</v>
      </c>
      <c r="O212" s="31" t="s">
        <v>141</v>
      </c>
      <c r="P212" s="65" t="s">
        <v>22</v>
      </c>
      <c r="Q212" s="131">
        <v>0.006</v>
      </c>
      <c r="R212" s="34">
        <f>Q212+Костромаэнерго!D212</f>
        <v>0.356</v>
      </c>
      <c r="S212" s="34">
        <v>0.35</v>
      </c>
      <c r="T212" s="14">
        <v>120</v>
      </c>
      <c r="U212" s="50">
        <f t="shared" si="34"/>
        <v>0.006000000000000005</v>
      </c>
      <c r="V212" s="51">
        <v>0</v>
      </c>
      <c r="W212" s="30">
        <f>1.05*1.6</f>
        <v>1.6800000000000002</v>
      </c>
      <c r="X212" s="83">
        <f t="shared" si="35"/>
        <v>1.6740000000000002</v>
      </c>
      <c r="Y212" s="82">
        <f>X212</f>
        <v>1.6740000000000002</v>
      </c>
      <c r="Z212" s="84" t="str">
        <f>IF(Y212&lt;0,"closed","opened")</f>
        <v>opened</v>
      </c>
    </row>
    <row r="213" spans="1:26" s="69" customFormat="1" ht="25.5">
      <c r="A213" s="73">
        <v>154</v>
      </c>
      <c r="B213" s="31" t="s">
        <v>142</v>
      </c>
      <c r="C213" s="28" t="s">
        <v>18</v>
      </c>
      <c r="D213" s="119">
        <v>1.59</v>
      </c>
      <c r="E213" s="34">
        <v>1</v>
      </c>
      <c r="F213" s="14">
        <v>120</v>
      </c>
      <c r="G213" s="15">
        <f t="shared" si="33"/>
        <v>0.5900000000000001</v>
      </c>
      <c r="H213" s="93">
        <v>0</v>
      </c>
      <c r="I213" s="30">
        <f>1.05*2.5</f>
        <v>2.625</v>
      </c>
      <c r="J213" s="30">
        <f t="shared" si="32"/>
        <v>2.035</v>
      </c>
      <c r="K213" s="33">
        <f>J213</f>
        <v>2.035</v>
      </c>
      <c r="L213" s="18" t="str">
        <f>IF(K213&lt;0,"closed","opened")</f>
        <v>opened</v>
      </c>
      <c r="M213" s="104"/>
      <c r="N213" s="73">
        <v>154</v>
      </c>
      <c r="O213" s="31" t="s">
        <v>142</v>
      </c>
      <c r="P213" s="65" t="s">
        <v>18</v>
      </c>
      <c r="Q213" s="131">
        <v>0.07</v>
      </c>
      <c r="R213" s="34">
        <f>Q213+Костромаэнерго!D213</f>
        <v>1.6600000000000001</v>
      </c>
      <c r="S213" s="34">
        <v>1</v>
      </c>
      <c r="T213" s="14">
        <v>120</v>
      </c>
      <c r="U213" s="50">
        <f t="shared" si="34"/>
        <v>0.6600000000000001</v>
      </c>
      <c r="V213" s="51">
        <v>0</v>
      </c>
      <c r="W213" s="30">
        <f>1.05*2.5</f>
        <v>2.625</v>
      </c>
      <c r="X213" s="83">
        <f t="shared" si="35"/>
        <v>1.9649999999999999</v>
      </c>
      <c r="Y213" s="82">
        <f>X213</f>
        <v>1.9649999999999999</v>
      </c>
      <c r="Z213" s="18" t="str">
        <f>IF(Y213&lt;0,"closed","opened")</f>
        <v>opened</v>
      </c>
    </row>
    <row r="214" spans="1:26" s="69" customFormat="1" ht="22.5" customHeight="1">
      <c r="A214" s="198">
        <v>155</v>
      </c>
      <c r="B214" s="31" t="s">
        <v>143</v>
      </c>
      <c r="C214" s="28" t="s">
        <v>28</v>
      </c>
      <c r="D214" s="119">
        <v>1.69</v>
      </c>
      <c r="E214" s="95">
        <f>E216+E215</f>
        <v>0</v>
      </c>
      <c r="F214" s="14">
        <v>0</v>
      </c>
      <c r="G214" s="16">
        <f t="shared" si="33"/>
        <v>1.69</v>
      </c>
      <c r="H214" s="93">
        <v>0</v>
      </c>
      <c r="I214" s="30">
        <f>1.05*6.3</f>
        <v>6.615</v>
      </c>
      <c r="J214" s="30">
        <f t="shared" si="32"/>
        <v>4.925000000000001</v>
      </c>
      <c r="K214" s="206">
        <f>MIN(J214:J216)</f>
        <v>4.925000000000001</v>
      </c>
      <c r="L214" s="203" t="str">
        <f>IF(K214&lt;0,"closed","opened")</f>
        <v>opened</v>
      </c>
      <c r="M214" s="104"/>
      <c r="N214" s="198">
        <v>155</v>
      </c>
      <c r="O214" s="31" t="s">
        <v>143</v>
      </c>
      <c r="P214" s="65" t="s">
        <v>28</v>
      </c>
      <c r="Q214" s="146">
        <v>0.101</v>
      </c>
      <c r="R214" s="34">
        <f>Q214+Костромаэнерго!D214</f>
        <v>1.791</v>
      </c>
      <c r="S214" s="101">
        <f>S216+S215</f>
        <v>0</v>
      </c>
      <c r="T214" s="14">
        <v>0</v>
      </c>
      <c r="U214" s="50">
        <f t="shared" si="34"/>
        <v>1.791</v>
      </c>
      <c r="V214" s="51">
        <v>0</v>
      </c>
      <c r="W214" s="30">
        <f>1.05*6.3</f>
        <v>6.615</v>
      </c>
      <c r="X214" s="83">
        <f t="shared" si="35"/>
        <v>4.824</v>
      </c>
      <c r="Y214" s="201">
        <f>MIN(X214:X216)</f>
        <v>4.824</v>
      </c>
      <c r="Z214" s="203" t="str">
        <f>IF(Y214&lt;0,"closed","opened")</f>
        <v>opened</v>
      </c>
    </row>
    <row r="215" spans="1:26" s="69" customFormat="1" ht="15">
      <c r="A215" s="199"/>
      <c r="B215" s="261" t="s">
        <v>48</v>
      </c>
      <c r="C215" s="28" t="s">
        <v>28</v>
      </c>
      <c r="D215" s="99">
        <v>0.18</v>
      </c>
      <c r="E215" s="34">
        <v>0</v>
      </c>
      <c r="F215" s="14">
        <v>0</v>
      </c>
      <c r="G215" s="16">
        <f t="shared" si="33"/>
        <v>0.18</v>
      </c>
      <c r="H215" s="93">
        <v>0</v>
      </c>
      <c r="I215" s="30">
        <f>1.05*6.3</f>
        <v>6.615</v>
      </c>
      <c r="J215" s="30">
        <f>I215-D215</f>
        <v>6.4350000000000005</v>
      </c>
      <c r="K215" s="207"/>
      <c r="L215" s="203"/>
      <c r="M215" s="104"/>
      <c r="N215" s="199"/>
      <c r="O215" s="261" t="s">
        <v>48</v>
      </c>
      <c r="P215" s="65" t="s">
        <v>28</v>
      </c>
      <c r="Q215" s="158">
        <v>0</v>
      </c>
      <c r="R215" s="34">
        <f>Q215+Костромаэнерго!D215</f>
        <v>0.18</v>
      </c>
      <c r="S215" s="34">
        <v>0</v>
      </c>
      <c r="T215" s="14">
        <v>0</v>
      </c>
      <c r="U215" s="50">
        <f t="shared" si="34"/>
        <v>0.18</v>
      </c>
      <c r="V215" s="51">
        <v>0</v>
      </c>
      <c r="W215" s="30">
        <f>1.05*6.3</f>
        <v>6.615</v>
      </c>
      <c r="X215" s="83">
        <f t="shared" si="35"/>
        <v>6.4350000000000005</v>
      </c>
      <c r="Y215" s="201"/>
      <c r="Z215" s="203"/>
    </row>
    <row r="216" spans="1:26" s="69" customFormat="1" ht="15">
      <c r="A216" s="200"/>
      <c r="B216" s="261" t="s">
        <v>49</v>
      </c>
      <c r="C216" s="28" t="s">
        <v>28</v>
      </c>
      <c r="D216" s="99">
        <v>1.51</v>
      </c>
      <c r="E216" s="34">
        <v>0</v>
      </c>
      <c r="F216" s="14">
        <v>0</v>
      </c>
      <c r="G216" s="16">
        <f t="shared" si="33"/>
        <v>1.51</v>
      </c>
      <c r="H216" s="93">
        <v>0</v>
      </c>
      <c r="I216" s="30">
        <f>1.05*6.3</f>
        <v>6.615</v>
      </c>
      <c r="J216" s="30">
        <f t="shared" si="32"/>
        <v>5.105</v>
      </c>
      <c r="K216" s="208"/>
      <c r="L216" s="203"/>
      <c r="M216" s="104"/>
      <c r="N216" s="200"/>
      <c r="O216" s="261" t="s">
        <v>49</v>
      </c>
      <c r="P216" s="65" t="s">
        <v>28</v>
      </c>
      <c r="Q216" s="146">
        <v>0.101</v>
      </c>
      <c r="R216" s="34">
        <f>Q216+Костромаэнерго!D216</f>
        <v>1.611</v>
      </c>
      <c r="S216" s="34">
        <v>0</v>
      </c>
      <c r="T216" s="14">
        <v>0</v>
      </c>
      <c r="U216" s="50">
        <f t="shared" si="34"/>
        <v>1.611</v>
      </c>
      <c r="V216" s="51">
        <v>0</v>
      </c>
      <c r="W216" s="30">
        <f>1.05*6.3</f>
        <v>6.615</v>
      </c>
      <c r="X216" s="83">
        <f t="shared" si="35"/>
        <v>5.0040000000000004</v>
      </c>
      <c r="Y216" s="201"/>
      <c r="Z216" s="203"/>
    </row>
    <row r="217" spans="1:26" s="69" customFormat="1" ht="25.5">
      <c r="A217" s="73">
        <v>156</v>
      </c>
      <c r="B217" s="31" t="s">
        <v>144</v>
      </c>
      <c r="C217" s="28" t="s">
        <v>8</v>
      </c>
      <c r="D217" s="119">
        <v>0.08</v>
      </c>
      <c r="E217" s="34">
        <v>0.07</v>
      </c>
      <c r="F217" s="14">
        <v>120</v>
      </c>
      <c r="G217" s="16">
        <f t="shared" si="33"/>
        <v>0.009999999999999995</v>
      </c>
      <c r="H217" s="93">
        <v>0</v>
      </c>
      <c r="I217" s="30">
        <f>1.05*1.6</f>
        <v>1.6800000000000002</v>
      </c>
      <c r="J217" s="30">
        <f t="shared" si="32"/>
        <v>1.6700000000000002</v>
      </c>
      <c r="K217" s="33">
        <f>J217</f>
        <v>1.6700000000000002</v>
      </c>
      <c r="L217" s="18" t="str">
        <f>IF(K217&lt;0,"closed","opened")</f>
        <v>opened</v>
      </c>
      <c r="M217" s="104"/>
      <c r="N217" s="73">
        <v>156</v>
      </c>
      <c r="O217" s="31" t="s">
        <v>144</v>
      </c>
      <c r="P217" s="65" t="s">
        <v>8</v>
      </c>
      <c r="Q217" s="131">
        <v>0</v>
      </c>
      <c r="R217" s="34">
        <f>Q217+Костромаэнерго!D217</f>
        <v>0.08</v>
      </c>
      <c r="S217" s="34">
        <v>0.07</v>
      </c>
      <c r="T217" s="14">
        <v>120</v>
      </c>
      <c r="U217" s="50">
        <f t="shared" si="34"/>
        <v>0.009999999999999995</v>
      </c>
      <c r="V217" s="51">
        <v>0</v>
      </c>
      <c r="W217" s="30">
        <f>1.05*1.6</f>
        <v>1.6800000000000002</v>
      </c>
      <c r="X217" s="83">
        <f t="shared" si="35"/>
        <v>1.6700000000000002</v>
      </c>
      <c r="Y217" s="82">
        <f>X217</f>
        <v>1.6700000000000002</v>
      </c>
      <c r="Z217" s="18" t="str">
        <f>IF(Y217&lt;0,"closed","opened")</f>
        <v>opened</v>
      </c>
    </row>
    <row r="218" spans="1:26" s="69" customFormat="1" ht="23.25" customHeight="1">
      <c r="A218" s="198">
        <v>157</v>
      </c>
      <c r="B218" s="31" t="s">
        <v>145</v>
      </c>
      <c r="C218" s="28" t="s">
        <v>14</v>
      </c>
      <c r="D218" s="119">
        <v>2.42</v>
      </c>
      <c r="E218" s="95">
        <f>E220+E219</f>
        <v>0</v>
      </c>
      <c r="F218" s="14">
        <v>0</v>
      </c>
      <c r="G218" s="16">
        <f t="shared" si="33"/>
        <v>2.42</v>
      </c>
      <c r="H218" s="93">
        <v>0</v>
      </c>
      <c r="I218" s="30">
        <f>1.05*6.3</f>
        <v>6.615</v>
      </c>
      <c r="J218" s="30">
        <f t="shared" si="32"/>
        <v>4.195</v>
      </c>
      <c r="K218" s="206">
        <f>MIN(J218:J220)</f>
        <v>4.195</v>
      </c>
      <c r="L218" s="202" t="str">
        <f>IF(K218&lt;0,"closed","opened")</f>
        <v>opened</v>
      </c>
      <c r="M218" s="104"/>
      <c r="N218" s="198">
        <v>157</v>
      </c>
      <c r="O218" s="31" t="s">
        <v>145</v>
      </c>
      <c r="P218" s="65" t="s">
        <v>14</v>
      </c>
      <c r="Q218" s="146">
        <v>0.22</v>
      </c>
      <c r="R218" s="34">
        <f>Q218+Костромаэнерго!D218</f>
        <v>2.64</v>
      </c>
      <c r="S218" s="101">
        <f>S220+S219</f>
        <v>0</v>
      </c>
      <c r="T218" s="14">
        <v>0</v>
      </c>
      <c r="U218" s="50">
        <f t="shared" si="34"/>
        <v>2.64</v>
      </c>
      <c r="V218" s="51">
        <v>0</v>
      </c>
      <c r="W218" s="30">
        <f>1.05*6.3</f>
        <v>6.615</v>
      </c>
      <c r="X218" s="83">
        <f t="shared" si="35"/>
        <v>3.975</v>
      </c>
      <c r="Y218" s="201">
        <f>MIN(X218:X220)</f>
        <v>3.975</v>
      </c>
      <c r="Z218" s="202" t="str">
        <f>IF(Y218&lt;0,"closed","opened")</f>
        <v>opened</v>
      </c>
    </row>
    <row r="219" spans="1:26" s="69" customFormat="1" ht="15">
      <c r="A219" s="199"/>
      <c r="B219" s="261" t="s">
        <v>48</v>
      </c>
      <c r="C219" s="28" t="s">
        <v>14</v>
      </c>
      <c r="D219" s="99">
        <v>0.12</v>
      </c>
      <c r="E219" s="34">
        <v>0</v>
      </c>
      <c r="F219" s="14">
        <v>0</v>
      </c>
      <c r="G219" s="16">
        <f t="shared" si="33"/>
        <v>0.12</v>
      </c>
      <c r="H219" s="93">
        <v>0</v>
      </c>
      <c r="I219" s="30">
        <f>1.05*6.3</f>
        <v>6.615</v>
      </c>
      <c r="J219" s="30">
        <f>I219-D219</f>
        <v>6.495</v>
      </c>
      <c r="K219" s="207"/>
      <c r="L219" s="203"/>
      <c r="M219" s="104"/>
      <c r="N219" s="199"/>
      <c r="O219" s="261" t="s">
        <v>48</v>
      </c>
      <c r="P219" s="65" t="s">
        <v>14</v>
      </c>
      <c r="Q219" s="158">
        <v>0</v>
      </c>
      <c r="R219" s="34">
        <f>Q219+Костромаэнерго!D219</f>
        <v>0.12</v>
      </c>
      <c r="S219" s="34">
        <v>0</v>
      </c>
      <c r="T219" s="14">
        <v>0</v>
      </c>
      <c r="U219" s="50">
        <f t="shared" si="34"/>
        <v>0.12</v>
      </c>
      <c r="V219" s="51">
        <v>0</v>
      </c>
      <c r="W219" s="30">
        <f>1.05*6.3</f>
        <v>6.615</v>
      </c>
      <c r="X219" s="83">
        <f t="shared" si="35"/>
        <v>6.495</v>
      </c>
      <c r="Y219" s="201"/>
      <c r="Z219" s="203"/>
    </row>
    <row r="220" spans="1:26" s="69" customFormat="1" ht="15">
      <c r="A220" s="200"/>
      <c r="B220" s="261" t="s">
        <v>49</v>
      </c>
      <c r="C220" s="28" t="s">
        <v>14</v>
      </c>
      <c r="D220" s="99">
        <v>2.3</v>
      </c>
      <c r="E220" s="34">
        <v>0</v>
      </c>
      <c r="F220" s="14">
        <v>0</v>
      </c>
      <c r="G220" s="15">
        <f t="shared" si="33"/>
        <v>2.3</v>
      </c>
      <c r="H220" s="93">
        <v>0</v>
      </c>
      <c r="I220" s="30">
        <f>1.05*6.3</f>
        <v>6.615</v>
      </c>
      <c r="J220" s="30">
        <f t="shared" si="32"/>
        <v>4.315</v>
      </c>
      <c r="K220" s="208"/>
      <c r="L220" s="204"/>
      <c r="M220" s="104"/>
      <c r="N220" s="200"/>
      <c r="O220" s="261" t="s">
        <v>49</v>
      </c>
      <c r="P220" s="65" t="s">
        <v>14</v>
      </c>
      <c r="Q220" s="146">
        <v>0.22</v>
      </c>
      <c r="R220" s="34">
        <f>Q220+Костромаэнерго!D220</f>
        <v>2.52</v>
      </c>
      <c r="S220" s="34">
        <v>0</v>
      </c>
      <c r="T220" s="14">
        <v>0</v>
      </c>
      <c r="U220" s="50">
        <f t="shared" si="34"/>
        <v>2.52</v>
      </c>
      <c r="V220" s="51">
        <v>0</v>
      </c>
      <c r="W220" s="30">
        <f>1.05*6.3</f>
        <v>6.615</v>
      </c>
      <c r="X220" s="83">
        <f t="shared" si="35"/>
        <v>4.095000000000001</v>
      </c>
      <c r="Y220" s="201"/>
      <c r="Z220" s="204"/>
    </row>
    <row r="221" spans="1:26" s="69" customFormat="1" ht="25.5">
      <c r="A221" s="198">
        <v>158</v>
      </c>
      <c r="B221" s="31" t="s">
        <v>146</v>
      </c>
      <c r="C221" s="28" t="s">
        <v>29</v>
      </c>
      <c r="D221" s="99">
        <v>1.77</v>
      </c>
      <c r="E221" s="95">
        <f>E223+E222</f>
        <v>0.75</v>
      </c>
      <c r="F221" s="14">
        <v>120</v>
      </c>
      <c r="G221" s="16">
        <f t="shared" si="33"/>
        <v>1.02</v>
      </c>
      <c r="H221" s="93">
        <v>0</v>
      </c>
      <c r="I221" s="30">
        <f>1.05*4</f>
        <v>4.2</v>
      </c>
      <c r="J221" s="30">
        <f t="shared" si="32"/>
        <v>3.18</v>
      </c>
      <c r="K221" s="206">
        <f>MIN(J221:J223)</f>
        <v>3.18</v>
      </c>
      <c r="L221" s="202" t="str">
        <f>IF(K221&lt;0,"closed","opened")</f>
        <v>opened</v>
      </c>
      <c r="M221" s="104"/>
      <c r="N221" s="198">
        <v>158</v>
      </c>
      <c r="O221" s="31" t="s">
        <v>146</v>
      </c>
      <c r="P221" s="65" t="s">
        <v>29</v>
      </c>
      <c r="Q221" s="146">
        <v>0.116</v>
      </c>
      <c r="R221" s="34">
        <f>Q221+Костромаэнерго!D221</f>
        <v>1.8860000000000001</v>
      </c>
      <c r="S221" s="101">
        <f>S223+S222</f>
        <v>0.75</v>
      </c>
      <c r="T221" s="14">
        <v>120</v>
      </c>
      <c r="U221" s="50">
        <f t="shared" si="34"/>
        <v>1.1360000000000001</v>
      </c>
      <c r="V221" s="51">
        <v>0</v>
      </c>
      <c r="W221" s="30">
        <f>1.05*4</f>
        <v>4.2</v>
      </c>
      <c r="X221" s="83">
        <f t="shared" si="35"/>
        <v>3.064</v>
      </c>
      <c r="Y221" s="201">
        <f>MIN(X221:X223)</f>
        <v>3.064</v>
      </c>
      <c r="Z221" s="202" t="str">
        <f>IF(Y221&lt;0,"closed","opened")</f>
        <v>opened</v>
      </c>
    </row>
    <row r="222" spans="1:26" s="69" customFormat="1" ht="15">
      <c r="A222" s="199"/>
      <c r="B222" s="261" t="s">
        <v>48</v>
      </c>
      <c r="C222" s="28" t="s">
        <v>29</v>
      </c>
      <c r="D222" s="99">
        <v>0.69</v>
      </c>
      <c r="E222" s="34">
        <v>0</v>
      </c>
      <c r="F222" s="14">
        <v>120</v>
      </c>
      <c r="G222" s="16">
        <f t="shared" si="33"/>
        <v>0.69</v>
      </c>
      <c r="H222" s="93">
        <v>0</v>
      </c>
      <c r="I222" s="30">
        <f>1.05*4</f>
        <v>4.2</v>
      </c>
      <c r="J222" s="97">
        <f>I222-D222</f>
        <v>3.5100000000000002</v>
      </c>
      <c r="K222" s="207"/>
      <c r="L222" s="203"/>
      <c r="M222" s="104"/>
      <c r="N222" s="199"/>
      <c r="O222" s="261" t="s">
        <v>48</v>
      </c>
      <c r="P222" s="65" t="s">
        <v>29</v>
      </c>
      <c r="Q222" s="158">
        <v>0</v>
      </c>
      <c r="R222" s="34">
        <f>Q222+Костромаэнерго!D222</f>
        <v>0.69</v>
      </c>
      <c r="S222" s="34">
        <v>0</v>
      </c>
      <c r="T222" s="14">
        <v>120</v>
      </c>
      <c r="U222" s="50">
        <f t="shared" si="34"/>
        <v>0.69</v>
      </c>
      <c r="V222" s="51">
        <v>0</v>
      </c>
      <c r="W222" s="30">
        <f>1.05*4</f>
        <v>4.2</v>
      </c>
      <c r="X222" s="83">
        <f t="shared" si="35"/>
        <v>3.5100000000000002</v>
      </c>
      <c r="Y222" s="201"/>
      <c r="Z222" s="203"/>
    </row>
    <row r="223" spans="1:26" s="69" customFormat="1" ht="15">
      <c r="A223" s="200"/>
      <c r="B223" s="261" t="s">
        <v>49</v>
      </c>
      <c r="C223" s="28" t="s">
        <v>29</v>
      </c>
      <c r="D223" s="99">
        <v>1.08</v>
      </c>
      <c r="E223" s="34">
        <v>0.75</v>
      </c>
      <c r="F223" s="14">
        <v>120</v>
      </c>
      <c r="G223" s="15">
        <f t="shared" si="33"/>
        <v>0.33000000000000007</v>
      </c>
      <c r="H223" s="93">
        <v>0</v>
      </c>
      <c r="I223" s="30">
        <f>1.05*4</f>
        <v>4.2</v>
      </c>
      <c r="J223" s="30">
        <f t="shared" si="32"/>
        <v>3.87</v>
      </c>
      <c r="K223" s="208"/>
      <c r="L223" s="204"/>
      <c r="M223" s="104"/>
      <c r="N223" s="200"/>
      <c r="O223" s="261" t="s">
        <v>49</v>
      </c>
      <c r="P223" s="65" t="s">
        <v>29</v>
      </c>
      <c r="Q223" s="146">
        <v>0.116</v>
      </c>
      <c r="R223" s="34">
        <f>Q223+Костромаэнерго!D223</f>
        <v>1.1960000000000002</v>
      </c>
      <c r="S223" s="34">
        <v>0.75</v>
      </c>
      <c r="T223" s="14">
        <v>120</v>
      </c>
      <c r="U223" s="50">
        <f t="shared" si="34"/>
        <v>0.4460000000000002</v>
      </c>
      <c r="V223" s="51">
        <v>0</v>
      </c>
      <c r="W223" s="30">
        <f>1.05*4</f>
        <v>4.2</v>
      </c>
      <c r="X223" s="83">
        <f t="shared" si="35"/>
        <v>3.754</v>
      </c>
      <c r="Y223" s="201"/>
      <c r="Z223" s="204"/>
    </row>
    <row r="224" spans="1:26" s="69" customFormat="1" ht="25.5">
      <c r="A224" s="73">
        <v>159</v>
      </c>
      <c r="B224" s="31" t="s">
        <v>147</v>
      </c>
      <c r="C224" s="28" t="s">
        <v>6</v>
      </c>
      <c r="D224" s="119">
        <v>0.37</v>
      </c>
      <c r="E224" s="34">
        <v>0.27</v>
      </c>
      <c r="F224" s="14">
        <v>120</v>
      </c>
      <c r="G224" s="19">
        <f t="shared" si="33"/>
        <v>0.09999999999999998</v>
      </c>
      <c r="H224" s="93">
        <v>0</v>
      </c>
      <c r="I224" s="30">
        <f>1.05*1.6</f>
        <v>1.6800000000000002</v>
      </c>
      <c r="J224" s="30">
        <f t="shared" si="32"/>
        <v>1.58</v>
      </c>
      <c r="K224" s="33">
        <f>J224</f>
        <v>1.58</v>
      </c>
      <c r="L224" s="18" t="str">
        <f>IF(K224&lt;0,"closed","opened")</f>
        <v>opened</v>
      </c>
      <c r="M224" s="104"/>
      <c r="N224" s="73">
        <v>159</v>
      </c>
      <c r="O224" s="31" t="s">
        <v>147</v>
      </c>
      <c r="P224" s="65" t="s">
        <v>6</v>
      </c>
      <c r="Q224" s="131">
        <v>0.014</v>
      </c>
      <c r="R224" s="34">
        <f>Q224+Костромаэнерго!D224</f>
        <v>0.384</v>
      </c>
      <c r="S224" s="34">
        <v>0.27</v>
      </c>
      <c r="T224" s="14">
        <v>120</v>
      </c>
      <c r="U224" s="50">
        <f t="shared" si="34"/>
        <v>0.11399999999999999</v>
      </c>
      <c r="V224" s="51">
        <v>0</v>
      </c>
      <c r="W224" s="30">
        <f>1.05*1.6</f>
        <v>1.6800000000000002</v>
      </c>
      <c r="X224" s="83">
        <f t="shared" si="35"/>
        <v>1.5660000000000003</v>
      </c>
      <c r="Y224" s="82">
        <f>X224</f>
        <v>1.5660000000000003</v>
      </c>
      <c r="Z224" s="18" t="str">
        <f>IF(Y224&lt;0,"closed","opened")</f>
        <v>opened</v>
      </c>
    </row>
    <row r="225" spans="1:26" s="69" customFormat="1" ht="25.5">
      <c r="A225" s="198">
        <v>160</v>
      </c>
      <c r="B225" s="31" t="s">
        <v>148</v>
      </c>
      <c r="C225" s="28" t="s">
        <v>16</v>
      </c>
      <c r="D225" s="119">
        <v>19.02</v>
      </c>
      <c r="E225" s="95">
        <f>E227+E226</f>
        <v>2</v>
      </c>
      <c r="F225" s="14">
        <v>120</v>
      </c>
      <c r="G225" s="19">
        <f t="shared" si="33"/>
        <v>17.02</v>
      </c>
      <c r="H225" s="93">
        <v>0</v>
      </c>
      <c r="I225" s="30">
        <f>1.05*20</f>
        <v>21</v>
      </c>
      <c r="J225" s="30">
        <f t="shared" si="32"/>
        <v>3.9800000000000004</v>
      </c>
      <c r="K225" s="206">
        <f>MIN(J225:J227)</f>
        <v>3.9800000000000004</v>
      </c>
      <c r="L225" s="203" t="str">
        <f>IF(K225&lt;0,"closed","opened")</f>
        <v>opened</v>
      </c>
      <c r="M225" s="104"/>
      <c r="N225" s="198">
        <v>160</v>
      </c>
      <c r="O225" s="31" t="s">
        <v>148</v>
      </c>
      <c r="P225" s="65" t="s">
        <v>16</v>
      </c>
      <c r="Q225" s="146">
        <v>0.393</v>
      </c>
      <c r="R225" s="34">
        <f>Q225+Костромаэнерго!D225</f>
        <v>19.413</v>
      </c>
      <c r="S225" s="101">
        <f>S227+S226</f>
        <v>2</v>
      </c>
      <c r="T225" s="14">
        <v>120</v>
      </c>
      <c r="U225" s="50">
        <f t="shared" si="34"/>
        <v>17.413</v>
      </c>
      <c r="V225" s="51">
        <v>0</v>
      </c>
      <c r="W225" s="30">
        <f>1.05*20</f>
        <v>21</v>
      </c>
      <c r="X225" s="83">
        <f t="shared" si="35"/>
        <v>3.5869999999999997</v>
      </c>
      <c r="Y225" s="201">
        <f>MIN(X225:X227)</f>
        <v>3.5869999999999997</v>
      </c>
      <c r="Z225" s="203" t="str">
        <f>IF(Y225&lt;0,"closed","opened")</f>
        <v>opened</v>
      </c>
    </row>
    <row r="226" spans="1:26" s="69" customFormat="1" ht="15">
      <c r="A226" s="199"/>
      <c r="B226" s="261" t="s">
        <v>48</v>
      </c>
      <c r="C226" s="28" t="s">
        <v>16</v>
      </c>
      <c r="D226" s="99">
        <v>12.2</v>
      </c>
      <c r="E226" s="34">
        <v>0</v>
      </c>
      <c r="F226" s="14">
        <v>120</v>
      </c>
      <c r="G226" s="16">
        <f t="shared" si="33"/>
        <v>12.2</v>
      </c>
      <c r="H226" s="93">
        <v>0</v>
      </c>
      <c r="I226" s="30">
        <f>1.05*20</f>
        <v>21</v>
      </c>
      <c r="J226" s="30">
        <f>I226-D226</f>
        <v>8.8</v>
      </c>
      <c r="K226" s="207"/>
      <c r="L226" s="203"/>
      <c r="M226" s="104"/>
      <c r="N226" s="199"/>
      <c r="O226" s="261" t="s">
        <v>48</v>
      </c>
      <c r="P226" s="65" t="s">
        <v>16</v>
      </c>
      <c r="Q226" s="158">
        <v>0</v>
      </c>
      <c r="R226" s="34">
        <f>Q226+Костромаэнерго!D226</f>
        <v>12.2</v>
      </c>
      <c r="S226" s="34">
        <v>0</v>
      </c>
      <c r="T226" s="14">
        <v>120</v>
      </c>
      <c r="U226" s="50">
        <f t="shared" si="34"/>
        <v>12.2</v>
      </c>
      <c r="V226" s="51">
        <v>0</v>
      </c>
      <c r="W226" s="30">
        <f>1.05*20</f>
        <v>21</v>
      </c>
      <c r="X226" s="83">
        <f t="shared" si="35"/>
        <v>8.8</v>
      </c>
      <c r="Y226" s="201"/>
      <c r="Z226" s="203"/>
    </row>
    <row r="227" spans="1:26" s="69" customFormat="1" ht="15">
      <c r="A227" s="200"/>
      <c r="B227" s="261" t="s">
        <v>49</v>
      </c>
      <c r="C227" s="28" t="s">
        <v>16</v>
      </c>
      <c r="D227" s="99">
        <v>6.82</v>
      </c>
      <c r="E227" s="34">
        <v>2</v>
      </c>
      <c r="F227" s="14">
        <v>120</v>
      </c>
      <c r="G227" s="16">
        <f t="shared" si="33"/>
        <v>4.82</v>
      </c>
      <c r="H227" s="93">
        <v>0</v>
      </c>
      <c r="I227" s="30">
        <f>1.05*20</f>
        <v>21</v>
      </c>
      <c r="J227" s="30">
        <f t="shared" si="32"/>
        <v>16.18</v>
      </c>
      <c r="K227" s="208"/>
      <c r="L227" s="203"/>
      <c r="M227" s="104"/>
      <c r="N227" s="200"/>
      <c r="O227" s="261" t="s">
        <v>49</v>
      </c>
      <c r="P227" s="65" t="s">
        <v>16</v>
      </c>
      <c r="Q227" s="146">
        <v>0.393</v>
      </c>
      <c r="R227" s="34">
        <f>Q227+Костромаэнерго!D227</f>
        <v>7.213</v>
      </c>
      <c r="S227" s="34">
        <v>2</v>
      </c>
      <c r="T227" s="14">
        <v>120</v>
      </c>
      <c r="U227" s="50">
        <f t="shared" si="34"/>
        <v>5.213</v>
      </c>
      <c r="V227" s="51">
        <v>0</v>
      </c>
      <c r="W227" s="30">
        <f>1.05*20</f>
        <v>21</v>
      </c>
      <c r="X227" s="83">
        <f t="shared" si="35"/>
        <v>15.786999999999999</v>
      </c>
      <c r="Y227" s="201"/>
      <c r="Z227" s="203"/>
    </row>
    <row r="228" spans="1:26" s="69" customFormat="1" ht="25.5">
      <c r="A228" s="72">
        <v>161</v>
      </c>
      <c r="B228" s="31" t="s">
        <v>149</v>
      </c>
      <c r="C228" s="28" t="s">
        <v>0</v>
      </c>
      <c r="D228" s="119">
        <v>3.32</v>
      </c>
      <c r="E228" s="34">
        <v>2.5</v>
      </c>
      <c r="F228" s="14">
        <v>120</v>
      </c>
      <c r="G228" s="15">
        <f t="shared" si="33"/>
        <v>0.8199999999999998</v>
      </c>
      <c r="H228" s="93">
        <v>0</v>
      </c>
      <c r="I228" s="30">
        <f>1.05*25</f>
        <v>26.25</v>
      </c>
      <c r="J228" s="30">
        <f t="shared" si="32"/>
        <v>25.43</v>
      </c>
      <c r="K228" s="32">
        <f>J228</f>
        <v>25.43</v>
      </c>
      <c r="L228" s="84" t="str">
        <f>IF(K228&lt;0,"closed","opened")</f>
        <v>opened</v>
      </c>
      <c r="M228" s="104"/>
      <c r="N228" s="72">
        <v>161</v>
      </c>
      <c r="O228" s="31" t="s">
        <v>149</v>
      </c>
      <c r="P228" s="65" t="s">
        <v>0</v>
      </c>
      <c r="Q228" s="131">
        <v>0.129</v>
      </c>
      <c r="R228" s="34">
        <f>Q228+Костромаэнерго!D228</f>
        <v>3.449</v>
      </c>
      <c r="S228" s="34">
        <v>2.5</v>
      </c>
      <c r="T228" s="14">
        <v>120</v>
      </c>
      <c r="U228" s="50">
        <f t="shared" si="34"/>
        <v>0.9489999999999998</v>
      </c>
      <c r="V228" s="51">
        <v>0</v>
      </c>
      <c r="W228" s="30">
        <f>1.05*25</f>
        <v>26.25</v>
      </c>
      <c r="X228" s="83">
        <f t="shared" si="35"/>
        <v>25.301000000000002</v>
      </c>
      <c r="Y228" s="82">
        <f>X228</f>
        <v>25.301000000000002</v>
      </c>
      <c r="Z228" s="84" t="str">
        <f>IF(Y228&lt;0,"closed","opened")</f>
        <v>opened</v>
      </c>
    </row>
    <row r="229" spans="1:26" s="69" customFormat="1" ht="25.5">
      <c r="A229" s="73">
        <v>162</v>
      </c>
      <c r="B229" s="31" t="s">
        <v>150</v>
      </c>
      <c r="C229" s="28" t="s">
        <v>30</v>
      </c>
      <c r="D229" s="119">
        <v>0.82</v>
      </c>
      <c r="E229" s="34">
        <v>0.57</v>
      </c>
      <c r="F229" s="14">
        <v>120</v>
      </c>
      <c r="G229" s="19">
        <f t="shared" si="33"/>
        <v>0.25</v>
      </c>
      <c r="H229" s="93">
        <v>0</v>
      </c>
      <c r="I229" s="30">
        <f>1.05*1</f>
        <v>1.05</v>
      </c>
      <c r="J229" s="30">
        <f t="shared" si="32"/>
        <v>0.8</v>
      </c>
      <c r="K229" s="32">
        <f>J229</f>
        <v>0.8</v>
      </c>
      <c r="L229" s="84" t="str">
        <f>IF(K229&lt;0,"closed","opened")</f>
        <v>opened</v>
      </c>
      <c r="M229" s="104"/>
      <c r="N229" s="73">
        <v>162</v>
      </c>
      <c r="O229" s="31" t="s">
        <v>150</v>
      </c>
      <c r="P229" s="65" t="s">
        <v>30</v>
      </c>
      <c r="Q229" s="131">
        <v>0.015</v>
      </c>
      <c r="R229" s="34">
        <f>Q229+Костромаэнерго!D229</f>
        <v>0.835</v>
      </c>
      <c r="S229" s="34">
        <v>0.57</v>
      </c>
      <c r="T229" s="14">
        <v>120</v>
      </c>
      <c r="U229" s="50">
        <f t="shared" si="34"/>
        <v>0.265</v>
      </c>
      <c r="V229" s="51">
        <v>0</v>
      </c>
      <c r="W229" s="30">
        <f>1.05*1</f>
        <v>1.05</v>
      </c>
      <c r="X229" s="83">
        <f t="shared" si="35"/>
        <v>0.785</v>
      </c>
      <c r="Y229" s="82">
        <f>X229</f>
        <v>0.785</v>
      </c>
      <c r="Z229" s="84" t="str">
        <f>IF(Y229&lt;0,"closed","opened")</f>
        <v>opened</v>
      </c>
    </row>
    <row r="230" spans="1:26" s="69" customFormat="1" ht="25.5">
      <c r="A230" s="73">
        <v>163</v>
      </c>
      <c r="B230" s="31" t="s">
        <v>151</v>
      </c>
      <c r="C230" s="28" t="s">
        <v>6</v>
      </c>
      <c r="D230" s="119">
        <v>0.89</v>
      </c>
      <c r="E230" s="34">
        <v>0</v>
      </c>
      <c r="F230" s="14">
        <v>0</v>
      </c>
      <c r="G230" s="19">
        <f t="shared" si="33"/>
        <v>0.89</v>
      </c>
      <c r="H230" s="93">
        <v>0</v>
      </c>
      <c r="I230" s="30">
        <f>1.05*1.6</f>
        <v>1.6800000000000002</v>
      </c>
      <c r="J230" s="30">
        <f t="shared" si="32"/>
        <v>0.7900000000000001</v>
      </c>
      <c r="K230" s="32">
        <f>J230</f>
        <v>0.7900000000000001</v>
      </c>
      <c r="L230" s="18" t="str">
        <f>IF(K230&lt;0,"closed","opened")</f>
        <v>opened</v>
      </c>
      <c r="M230" s="104"/>
      <c r="N230" s="73">
        <v>163</v>
      </c>
      <c r="O230" s="31" t="s">
        <v>151</v>
      </c>
      <c r="P230" s="65" t="s">
        <v>6</v>
      </c>
      <c r="Q230" s="131">
        <v>0.196</v>
      </c>
      <c r="R230" s="34">
        <f>Q230+Костромаэнерго!D230</f>
        <v>1.086</v>
      </c>
      <c r="S230" s="34">
        <v>0</v>
      </c>
      <c r="T230" s="14">
        <v>0</v>
      </c>
      <c r="U230" s="50">
        <f t="shared" si="34"/>
        <v>1.086</v>
      </c>
      <c r="V230" s="51">
        <v>0</v>
      </c>
      <c r="W230" s="30">
        <f>1.05*1.6</f>
        <v>1.6800000000000002</v>
      </c>
      <c r="X230" s="83">
        <f t="shared" si="35"/>
        <v>0.5940000000000001</v>
      </c>
      <c r="Y230" s="82">
        <f>X230</f>
        <v>0.5940000000000001</v>
      </c>
      <c r="Z230" s="18" t="str">
        <f>IF(Y230&lt;0,"closed","opened")</f>
        <v>opened</v>
      </c>
    </row>
    <row r="231" spans="1:26" s="1" customFormat="1" ht="25.5">
      <c r="A231" s="10">
        <v>164</v>
      </c>
      <c r="B231" s="31" t="s">
        <v>152</v>
      </c>
      <c r="C231" s="28" t="s">
        <v>2</v>
      </c>
      <c r="D231" s="119">
        <v>8.96</v>
      </c>
      <c r="E231" s="61">
        <v>3</v>
      </c>
      <c r="F231" s="14">
        <v>120</v>
      </c>
      <c r="G231" s="16">
        <f t="shared" si="33"/>
        <v>5.960000000000001</v>
      </c>
      <c r="H231" s="93">
        <v>0</v>
      </c>
      <c r="I231" s="30">
        <f>1.05*10</f>
        <v>10.5</v>
      </c>
      <c r="J231" s="30">
        <f t="shared" si="32"/>
        <v>4.539999999999999</v>
      </c>
      <c r="K231" s="32">
        <f>J231</f>
        <v>4.539999999999999</v>
      </c>
      <c r="L231" s="74" t="str">
        <f>IF(K231&lt;0,"closed","opened")</f>
        <v>opened</v>
      </c>
      <c r="M231" s="104"/>
      <c r="N231" s="73">
        <v>164</v>
      </c>
      <c r="O231" s="31" t="s">
        <v>152</v>
      </c>
      <c r="P231" s="65" t="s">
        <v>2</v>
      </c>
      <c r="Q231" s="131">
        <v>1.665</v>
      </c>
      <c r="R231" s="34">
        <f>Q231+Костромаэнерго!D231</f>
        <v>10.625</v>
      </c>
      <c r="S231" s="34">
        <v>3</v>
      </c>
      <c r="T231" s="14">
        <v>120</v>
      </c>
      <c r="U231" s="50">
        <f t="shared" si="34"/>
        <v>7.625</v>
      </c>
      <c r="V231" s="51">
        <v>0</v>
      </c>
      <c r="W231" s="30">
        <f>1.05*10</f>
        <v>10.5</v>
      </c>
      <c r="X231" s="83">
        <f t="shared" si="35"/>
        <v>2.875</v>
      </c>
      <c r="Y231" s="82">
        <f>X231</f>
        <v>2.875</v>
      </c>
      <c r="Z231" s="74" t="str">
        <f>IF(Y231&lt;0,"closed","opened")</f>
        <v>opened</v>
      </c>
    </row>
    <row r="232" spans="1:26" s="1" customFormat="1" ht="25.5">
      <c r="A232" s="171"/>
      <c r="B232" s="40" t="s">
        <v>215</v>
      </c>
      <c r="C232" s="40">
        <v>1705</v>
      </c>
      <c r="D232" s="67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403.61000000000075</v>
      </c>
      <c r="E232" s="67" t="s">
        <v>31</v>
      </c>
      <c r="F232" s="40"/>
      <c r="G232" s="67" t="s">
        <v>31</v>
      </c>
      <c r="H232" s="55"/>
      <c r="I232" s="67" t="s">
        <v>31</v>
      </c>
      <c r="J232" s="67" t="s">
        <v>31</v>
      </c>
      <c r="K232" s="67"/>
      <c r="L232" s="41"/>
      <c r="M232" s="104"/>
      <c r="N232" s="196"/>
      <c r="O232" s="40" t="s">
        <v>215</v>
      </c>
      <c r="P232" s="40">
        <v>1705</v>
      </c>
      <c r="Q232" s="67"/>
      <c r="R232" s="67">
        <f>SUM(R6:R70,R72:R231)-R40-R41-R54-R55-R73-R74-R76-R77-R92-R93-R98-R99-R105-R106-R108-R109-R116-R117-R120-R121-R123-R124-R126-R127-R129-R130-R142-R143-R145-R146-R149-R150-R158-R159-R161-R162-R170-R171-R174-R175-R178-R179-R183-R184-R187-R188-R192-R193-R203-R204-R209-R210-R215-R216-R219-R220-R222-R223-R226-R227</f>
        <v>489.54499999999945</v>
      </c>
      <c r="S232" s="67" t="s">
        <v>31</v>
      </c>
      <c r="T232" s="67"/>
      <c r="U232" s="67" t="s">
        <v>31</v>
      </c>
      <c r="V232" s="67"/>
      <c r="W232" s="67" t="s">
        <v>31</v>
      </c>
      <c r="X232" s="67" t="s">
        <v>31</v>
      </c>
      <c r="Y232" s="71" t="s">
        <v>31</v>
      </c>
      <c r="Z232" s="150"/>
    </row>
    <row r="233" spans="1:26" s="1" customFormat="1" ht="15">
      <c r="A233" s="225"/>
      <c r="B233" s="42" t="s">
        <v>216</v>
      </c>
      <c r="C233" s="43"/>
      <c r="D233" s="78"/>
      <c r="E233" s="56"/>
      <c r="F233" s="43"/>
      <c r="G233" s="43"/>
      <c r="H233" s="56"/>
      <c r="I233" s="43"/>
      <c r="J233" s="43"/>
      <c r="K233" s="76">
        <f>SUMIF(K6:K70,"&lt;0")+SUMIF(K72:K231,"&lt;0")</f>
        <v>-6.234999999999998</v>
      </c>
      <c r="L233" s="44"/>
      <c r="M233" s="104"/>
      <c r="N233" s="196"/>
      <c r="O233" s="42" t="s">
        <v>216</v>
      </c>
      <c r="P233" s="151"/>
      <c r="Q233" s="151"/>
      <c r="R233" s="152"/>
      <c r="S233" s="151"/>
      <c r="T233" s="151"/>
      <c r="U233" s="151"/>
      <c r="V233" s="151"/>
      <c r="W233" s="30"/>
      <c r="X233" s="151"/>
      <c r="Y233" s="76">
        <f>SUMIF(Y5:Y70,"&lt;0")+SUMIF(Y72:Y231,"&lt;0")</f>
        <v>-16.712</v>
      </c>
      <c r="Z233" s="150"/>
    </row>
    <row r="234" spans="1:26" s="1" customFormat="1" ht="15.75" thickBot="1">
      <c r="A234" s="226"/>
      <c r="B234" s="45" t="s">
        <v>217</v>
      </c>
      <c r="C234" s="46"/>
      <c r="D234" s="79"/>
      <c r="E234" s="57"/>
      <c r="F234" s="46"/>
      <c r="G234" s="46"/>
      <c r="H234" s="57"/>
      <c r="I234" s="46"/>
      <c r="J234" s="46"/>
      <c r="K234" s="77">
        <f>SUMIF(K6:K70,"&gt;0")+SUMIF(K72:K231,"&gt;0")</f>
        <v>523.3199999999999</v>
      </c>
      <c r="L234" s="47"/>
      <c r="M234" s="104"/>
      <c r="N234" s="197"/>
      <c r="O234" s="45" t="s">
        <v>217</v>
      </c>
      <c r="P234" s="153"/>
      <c r="Q234" s="153"/>
      <c r="R234" s="154"/>
      <c r="S234" s="153"/>
      <c r="T234" s="153"/>
      <c r="U234" s="153"/>
      <c r="V234" s="153"/>
      <c r="W234" s="153"/>
      <c r="X234" s="153"/>
      <c r="Y234" s="155">
        <f>SUMIF(Y6:Y70,"&gt;0")+SUMIF(Y72:Y231,"&gt;0")</f>
        <v>455.274</v>
      </c>
      <c r="Z234" s="156"/>
    </row>
    <row r="235" spans="3:25" ht="6.75" customHeight="1">
      <c r="C235" s="92"/>
      <c r="D235" s="92"/>
      <c r="E235" s="92"/>
      <c r="H235" s="75"/>
      <c r="M235" s="75"/>
      <c r="P235" s="75"/>
      <c r="R235" s="75"/>
      <c r="S235" s="75"/>
      <c r="T235" s="75"/>
      <c r="U235" s="75"/>
      <c r="V235" s="75"/>
      <c r="W235" s="75"/>
      <c r="X235" s="75"/>
      <c r="Y235" s="75"/>
    </row>
    <row r="236" spans="2:25" ht="15">
      <c r="B236" s="107"/>
      <c r="C236" s="195"/>
      <c r="D236" s="195"/>
      <c r="E236" s="195"/>
      <c r="F236" s="195"/>
      <c r="G236" s="195"/>
      <c r="H236" s="75"/>
      <c r="J236" s="194"/>
      <c r="K236" s="194"/>
      <c r="M236" s="75"/>
      <c r="P236" s="163"/>
      <c r="Q236" s="163"/>
      <c r="R236" s="163"/>
      <c r="S236" s="163"/>
      <c r="T236" s="163"/>
      <c r="U236" s="75"/>
      <c r="V236" s="75"/>
      <c r="W236" s="205"/>
      <c r="X236" s="205"/>
      <c r="Y236" s="75"/>
    </row>
    <row r="237" spans="2:25" ht="15">
      <c r="B237" s="134"/>
      <c r="C237" s="107"/>
      <c r="D237" s="163"/>
      <c r="E237" s="163"/>
      <c r="F237" s="163"/>
      <c r="G237" s="163"/>
      <c r="H237" s="75"/>
      <c r="I237" s="75"/>
      <c r="J237" s="75"/>
      <c r="L237" s="75"/>
      <c r="M237" s="75"/>
      <c r="N237" s="75"/>
      <c r="O237" s="75"/>
      <c r="P237" s="163"/>
      <c r="Q237" s="163"/>
      <c r="R237" s="163"/>
      <c r="S237" s="163"/>
      <c r="T237" s="163"/>
      <c r="U237" s="75"/>
      <c r="V237" s="75"/>
      <c r="W237" s="75"/>
      <c r="X237" s="75"/>
      <c r="Y237" s="75"/>
    </row>
    <row r="238" spans="2:25" ht="15">
      <c r="B238" s="144"/>
      <c r="C238" s="144"/>
      <c r="D238" s="164"/>
      <c r="E238" s="164"/>
      <c r="F238" s="164"/>
      <c r="G238" s="164"/>
      <c r="H238" s="75"/>
      <c r="I238" s="75"/>
      <c r="J238" s="163"/>
      <c r="K238" s="163"/>
      <c r="L238" s="75"/>
      <c r="M238" s="75"/>
      <c r="N238" s="75"/>
      <c r="O238" s="75"/>
      <c r="P238" s="164"/>
      <c r="Q238" s="164"/>
      <c r="R238" s="164"/>
      <c r="S238" s="164"/>
      <c r="T238" s="164"/>
      <c r="U238" s="75"/>
      <c r="V238" s="75"/>
      <c r="W238" s="163"/>
      <c r="X238" s="163"/>
      <c r="Y238" s="75"/>
    </row>
    <row r="239" spans="2:25" ht="15">
      <c r="B239" s="144"/>
      <c r="C239" s="144"/>
      <c r="D239" s="144"/>
      <c r="E239" s="144"/>
      <c r="F239" s="144"/>
      <c r="G239" s="144"/>
      <c r="H239" s="75"/>
      <c r="P239" s="164"/>
      <c r="Q239" s="164"/>
      <c r="R239" s="164"/>
      <c r="S239" s="164"/>
      <c r="T239" s="164"/>
      <c r="U239" s="75"/>
      <c r="V239" s="75"/>
      <c r="W239" s="75"/>
      <c r="X239" s="75"/>
      <c r="Y239" s="75"/>
    </row>
  </sheetData>
  <sheetProtection/>
  <mergeCells count="214">
    <mergeCell ref="O1:O3"/>
    <mergeCell ref="P1:Y1"/>
    <mergeCell ref="Y2:Y3"/>
    <mergeCell ref="X2:X3"/>
    <mergeCell ref="V2:V3"/>
    <mergeCell ref="W2:W3"/>
    <mergeCell ref="A53:A55"/>
    <mergeCell ref="K53:K55"/>
    <mergeCell ref="L53:L55"/>
    <mergeCell ref="D2:D3"/>
    <mergeCell ref="I2:I3"/>
    <mergeCell ref="J2:J3"/>
    <mergeCell ref="K2:K3"/>
    <mergeCell ref="G2:G3"/>
    <mergeCell ref="H2:H3"/>
    <mergeCell ref="A39:A41"/>
    <mergeCell ref="K39:K41"/>
    <mergeCell ref="L39:L41"/>
    <mergeCell ref="A5:L5"/>
    <mergeCell ref="A1:A3"/>
    <mergeCell ref="B1:B3"/>
    <mergeCell ref="C1:K1"/>
    <mergeCell ref="L1:L3"/>
    <mergeCell ref="C2:C3"/>
    <mergeCell ref="E2:F2"/>
    <mergeCell ref="A75:A77"/>
    <mergeCell ref="K75:K77"/>
    <mergeCell ref="L75:L77"/>
    <mergeCell ref="A71:L71"/>
    <mergeCell ref="A72:A74"/>
    <mergeCell ref="K72:K74"/>
    <mergeCell ref="L72:L74"/>
    <mergeCell ref="A91:A93"/>
    <mergeCell ref="K91:K93"/>
    <mergeCell ref="L91:L93"/>
    <mergeCell ref="A97:A100"/>
    <mergeCell ref="K97:K100"/>
    <mergeCell ref="L97:L100"/>
    <mergeCell ref="A104:A106"/>
    <mergeCell ref="K104:K106"/>
    <mergeCell ref="L104:L106"/>
    <mergeCell ref="A107:A109"/>
    <mergeCell ref="K107:K109"/>
    <mergeCell ref="L107:L109"/>
    <mergeCell ref="A115:A117"/>
    <mergeCell ref="K115:K117"/>
    <mergeCell ref="L115:L117"/>
    <mergeCell ref="A119:A121"/>
    <mergeCell ref="K119:K121"/>
    <mergeCell ref="L119:L121"/>
    <mergeCell ref="A122:A124"/>
    <mergeCell ref="K122:K124"/>
    <mergeCell ref="L122:L124"/>
    <mergeCell ref="A141:A143"/>
    <mergeCell ref="K141:K143"/>
    <mergeCell ref="L141:L143"/>
    <mergeCell ref="A125:A127"/>
    <mergeCell ref="K125:K127"/>
    <mergeCell ref="L125:L127"/>
    <mergeCell ref="A128:A130"/>
    <mergeCell ref="K128:K130"/>
    <mergeCell ref="L128:L130"/>
    <mergeCell ref="A144:A146"/>
    <mergeCell ref="K144:K146"/>
    <mergeCell ref="L144:L146"/>
    <mergeCell ref="A148:A150"/>
    <mergeCell ref="K148:K150"/>
    <mergeCell ref="L148:L150"/>
    <mergeCell ref="A157:A159"/>
    <mergeCell ref="K157:K159"/>
    <mergeCell ref="L157:L159"/>
    <mergeCell ref="A160:A162"/>
    <mergeCell ref="K160:K162"/>
    <mergeCell ref="L160:L162"/>
    <mergeCell ref="A169:A171"/>
    <mergeCell ref="K169:K171"/>
    <mergeCell ref="L169:L171"/>
    <mergeCell ref="A218:A220"/>
    <mergeCell ref="K218:K220"/>
    <mergeCell ref="L218:L220"/>
    <mergeCell ref="L173:L175"/>
    <mergeCell ref="A177:A179"/>
    <mergeCell ref="K177:K179"/>
    <mergeCell ref="L177:L179"/>
    <mergeCell ref="A173:A175"/>
    <mergeCell ref="K173:K175"/>
    <mergeCell ref="A232:A234"/>
    <mergeCell ref="A221:A223"/>
    <mergeCell ref="K221:K223"/>
    <mergeCell ref="L221:L223"/>
    <mergeCell ref="A225:A227"/>
    <mergeCell ref="A214:A216"/>
    <mergeCell ref="K214:K216"/>
    <mergeCell ref="L214:L216"/>
    <mergeCell ref="A208:A210"/>
    <mergeCell ref="A191:A193"/>
    <mergeCell ref="K191:K193"/>
    <mergeCell ref="K208:K210"/>
    <mergeCell ref="L208:L210"/>
    <mergeCell ref="L191:L193"/>
    <mergeCell ref="A202:A204"/>
    <mergeCell ref="A182:A184"/>
    <mergeCell ref="K182:K184"/>
    <mergeCell ref="L182:L184"/>
    <mergeCell ref="A186:A188"/>
    <mergeCell ref="K186:K188"/>
    <mergeCell ref="L186:L188"/>
    <mergeCell ref="K202:K204"/>
    <mergeCell ref="L202:L204"/>
    <mergeCell ref="N71:Z71"/>
    <mergeCell ref="N5:Z5"/>
    <mergeCell ref="N39:N41"/>
    <mergeCell ref="Y39:Y41"/>
    <mergeCell ref="Z39:Z41"/>
    <mergeCell ref="N72:N74"/>
    <mergeCell ref="Y72:Y74"/>
    <mergeCell ref="Z72:Z74"/>
    <mergeCell ref="N53:N55"/>
    <mergeCell ref="Y53:Y55"/>
    <mergeCell ref="Z1:Z3"/>
    <mergeCell ref="P2:P3"/>
    <mergeCell ref="Q2:Q3"/>
    <mergeCell ref="R2:R3"/>
    <mergeCell ref="S2:T2"/>
    <mergeCell ref="U2:U3"/>
    <mergeCell ref="Z53:Z55"/>
    <mergeCell ref="N1:N3"/>
    <mergeCell ref="Z104:Z106"/>
    <mergeCell ref="Z97:Z100"/>
    <mergeCell ref="N75:N77"/>
    <mergeCell ref="Y75:Y77"/>
    <mergeCell ref="Z75:Z77"/>
    <mergeCell ref="N91:N93"/>
    <mergeCell ref="Y91:Y93"/>
    <mergeCell ref="Z91:Z93"/>
    <mergeCell ref="N97:N100"/>
    <mergeCell ref="Y97:Y100"/>
    <mergeCell ref="N104:N106"/>
    <mergeCell ref="Y104:Y106"/>
    <mergeCell ref="N107:N109"/>
    <mergeCell ref="Y107:Y109"/>
    <mergeCell ref="Z107:Z109"/>
    <mergeCell ref="N115:N117"/>
    <mergeCell ref="Y115:Y117"/>
    <mergeCell ref="Z115:Z117"/>
    <mergeCell ref="N119:N121"/>
    <mergeCell ref="Y119:Y121"/>
    <mergeCell ref="Z119:Z121"/>
    <mergeCell ref="N122:N124"/>
    <mergeCell ref="Y122:Y124"/>
    <mergeCell ref="Z122:Z124"/>
    <mergeCell ref="N125:N127"/>
    <mergeCell ref="Y125:Y127"/>
    <mergeCell ref="Z125:Z127"/>
    <mergeCell ref="N128:N130"/>
    <mergeCell ref="Y128:Y130"/>
    <mergeCell ref="Z128:Z130"/>
    <mergeCell ref="N141:N143"/>
    <mergeCell ref="Y141:Y143"/>
    <mergeCell ref="Z141:Z143"/>
    <mergeCell ref="N144:N146"/>
    <mergeCell ref="Y144:Y146"/>
    <mergeCell ref="Z144:Z146"/>
    <mergeCell ref="N148:N150"/>
    <mergeCell ref="Y148:Y150"/>
    <mergeCell ref="Z148:Z150"/>
    <mergeCell ref="N157:N159"/>
    <mergeCell ref="Y157:Y159"/>
    <mergeCell ref="Z157:Z159"/>
    <mergeCell ref="N160:N162"/>
    <mergeCell ref="Y160:Y162"/>
    <mergeCell ref="Z160:Z162"/>
    <mergeCell ref="N169:N171"/>
    <mergeCell ref="Y169:Y171"/>
    <mergeCell ref="Z169:Z171"/>
    <mergeCell ref="N173:N175"/>
    <mergeCell ref="Y173:Y175"/>
    <mergeCell ref="Z173:Z175"/>
    <mergeCell ref="N177:N179"/>
    <mergeCell ref="Y177:Y179"/>
    <mergeCell ref="Z177:Z179"/>
    <mergeCell ref="N191:N193"/>
    <mergeCell ref="Y191:Y193"/>
    <mergeCell ref="Z191:Z193"/>
    <mergeCell ref="N182:N184"/>
    <mergeCell ref="Y182:Y184"/>
    <mergeCell ref="Z182:Z184"/>
    <mergeCell ref="N186:N188"/>
    <mergeCell ref="Y186:Y188"/>
    <mergeCell ref="Z186:Z188"/>
    <mergeCell ref="N202:N204"/>
    <mergeCell ref="Y202:Y204"/>
    <mergeCell ref="Z202:Z204"/>
    <mergeCell ref="N214:N216"/>
    <mergeCell ref="Y214:Y216"/>
    <mergeCell ref="Z214:Z216"/>
    <mergeCell ref="Y208:Y210"/>
    <mergeCell ref="Z208:Z210"/>
    <mergeCell ref="N208:N210"/>
    <mergeCell ref="N218:N220"/>
    <mergeCell ref="Y218:Y220"/>
    <mergeCell ref="Y225:Y227"/>
    <mergeCell ref="Z225:Z227"/>
    <mergeCell ref="Z218:Z220"/>
    <mergeCell ref="Y221:Y223"/>
    <mergeCell ref="Z221:Z223"/>
    <mergeCell ref="N225:N227"/>
    <mergeCell ref="W236:X236"/>
    <mergeCell ref="J236:K236"/>
    <mergeCell ref="C236:G236"/>
    <mergeCell ref="N232:N234"/>
    <mergeCell ref="N221:N223"/>
    <mergeCell ref="K225:K227"/>
    <mergeCell ref="L225:L227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2010-03-05T08:17:29Z</cp:lastPrinted>
  <dcterms:created xsi:type="dcterms:W3CDTF">2008-10-03T08:18:33Z</dcterms:created>
  <dcterms:modified xsi:type="dcterms:W3CDTF">2010-01-01T05:06:00Z</dcterms:modified>
  <cp:category/>
  <cp:version/>
  <cp:contentType/>
  <cp:contentStatus/>
</cp:coreProperties>
</file>