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4565" activeTab="0"/>
  </bookViews>
  <sheets>
    <sheet name="брянск" sheetId="1" r:id="rId1"/>
  </sheets>
  <definedNames/>
  <calcPr fullCalcOnLoad="1"/>
</workbook>
</file>

<file path=xl/sharedStrings.xml><?xml version="1.0" encoding="utf-8"?>
<sst xmlns="http://schemas.openxmlformats.org/spreadsheetml/2006/main" count="1123" uniqueCount="207">
  <si>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</si>
  <si>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</si>
  <si>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</si>
  <si>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</si>
  <si>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</si>
  <si>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</si>
  <si>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</si>
  <si>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</si>
  <si>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</si>
  <si>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</si>
  <si>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</si>
  <si>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</si>
  <si>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</si>
  <si>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</si>
  <si>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</si>
  <si>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</si>
  <si>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</si>
  <si>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</si>
  <si>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</si>
  <si>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</si>
  <si>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</si>
  <si>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</si>
  <si>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</si>
  <si>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</si>
  <si>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</si>
  <si>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</si>
  <si>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</si>
  <si>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</si>
  <si>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</si>
  <si>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</si>
  <si>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</si>
  <si>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</si>
  <si>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</si>
  <si>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</si>
  <si>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</si>
  <si>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</si>
  <si>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</si>
  <si>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</si>
  <si>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</si>
  <si>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</si>
  <si>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</si>
  <si>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</si>
  <si>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</si>
  <si>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</si>
  <si>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</si>
  <si>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</si>
  <si>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</si>
  <si>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</si>
  <si>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</si>
  <si>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</si>
  <si>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</si>
  <si>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</si>
  <si>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</si>
  <si>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</si>
  <si>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</si>
  <si>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</si>
  <si>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</si>
  <si>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16+16+25+40</t>
  </si>
  <si>
    <t>12 час</t>
  </si>
  <si>
    <t>40+63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</si>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</sst>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7"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name val="Calibri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12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21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165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1" borderId="11" xfId="0" applyFont="1" applyFill="1" applyBorder="1" applyAlignment="1">
      <alignment horizontal="center" vertical="center" wrapText="1"/>
    </xf>
    <xf numFmtId="2" fontId="7" fillId="2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7" fillId="20" borderId="11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7" fillId="20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3" fillId="24" borderId="15" xfId="0" applyNumberFormat="1" applyFont="1" applyFill="1" applyBorder="1" applyAlignment="1">
      <alignment horizontal="center" vertical="center" wrapText="1"/>
    </xf>
    <xf numFmtId="164" fontId="3" fillId="24" borderId="11" xfId="0" applyNumberFormat="1" applyFont="1" applyFill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164" fontId="11" fillId="24" borderId="11" xfId="0" applyNumberFormat="1" applyFont="1" applyFill="1" applyBorder="1" applyAlignment="1">
      <alignment/>
    </xf>
    <xf numFmtId="164" fontId="11" fillId="24" borderId="14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/>
    </xf>
    <xf numFmtId="0" fontId="11" fillId="24" borderId="14" xfId="0" applyFont="1" applyFill="1" applyBorder="1" applyAlignment="1">
      <alignment/>
    </xf>
    <xf numFmtId="0" fontId="7" fillId="21" borderId="15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/>
    </xf>
    <xf numFmtId="0" fontId="8" fillId="21" borderId="14" xfId="0" applyFont="1" applyFill="1" applyBorder="1" applyAlignment="1">
      <alignment/>
    </xf>
    <xf numFmtId="164" fontId="0" fillId="24" borderId="11" xfId="0" applyNumberFormat="1" applyFill="1" applyBorder="1" applyAlignment="1">
      <alignment/>
    </xf>
    <xf numFmtId="164" fontId="0" fillId="24" borderId="14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4" xfId="0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10" xfId="58"/>
    <cellStyle name="Обычный 2" xfId="59"/>
    <cellStyle name="Обычный 3" xfId="60"/>
    <cellStyle name="Обычный 4" xfId="61"/>
    <cellStyle name="Обычный 5" xfId="62"/>
    <cellStyle name="Обычный 7" xfId="63"/>
    <cellStyle name="Обычный 8" xfId="64"/>
    <cellStyle name="Обычный 9" xfId="65"/>
    <cellStyle name="Percent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3"/>
  <sheetViews>
    <sheetView tabSelected="1" zoomScale="89" zoomScaleNormal="89" zoomScalePageLayoutView="0" workbookViewId="0" topLeftCell="A1">
      <pane ySplit="3" topLeftCell="BM4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6.00390625" style="49" customWidth="1"/>
    <col min="2" max="2" width="15.00390625" style="0" customWidth="1"/>
    <col min="3" max="3" width="9.140625" style="49" customWidth="1"/>
    <col min="13" max="13" width="2.7109375" style="0" customWidth="1"/>
    <col min="14" max="14" width="5.140625" style="0" customWidth="1"/>
    <col min="15" max="15" width="12.7109375" style="0" customWidth="1"/>
    <col min="17" max="17" width="5.8515625" style="0" customWidth="1"/>
  </cols>
  <sheetData>
    <row r="1" spans="1:26" s="1" customFormat="1" ht="26.25" customHeight="1">
      <c r="A1" s="115" t="s">
        <v>0</v>
      </c>
      <c r="B1" s="118" t="s">
        <v>1</v>
      </c>
      <c r="C1" s="79" t="s">
        <v>2</v>
      </c>
      <c r="D1" s="121"/>
      <c r="E1" s="121"/>
      <c r="F1" s="121"/>
      <c r="G1" s="121"/>
      <c r="H1" s="121"/>
      <c r="I1" s="121"/>
      <c r="J1" s="121"/>
      <c r="K1" s="122"/>
      <c r="L1" s="109" t="s">
        <v>14</v>
      </c>
      <c r="M1" s="41"/>
      <c r="N1" s="112" t="s">
        <v>0</v>
      </c>
      <c r="O1" s="78" t="s">
        <v>1</v>
      </c>
      <c r="P1" s="79" t="s">
        <v>15</v>
      </c>
      <c r="Q1" s="80"/>
      <c r="R1" s="80"/>
      <c r="S1" s="80"/>
      <c r="T1" s="80"/>
      <c r="U1" s="80"/>
      <c r="V1" s="80"/>
      <c r="W1" s="80"/>
      <c r="X1" s="80"/>
      <c r="Y1" s="81"/>
      <c r="Z1" s="109" t="s">
        <v>14</v>
      </c>
    </row>
    <row r="2" spans="1:26" s="1" customFormat="1" ht="54.75" customHeight="1">
      <c r="A2" s="116"/>
      <c r="B2" s="119"/>
      <c r="C2" s="123" t="s">
        <v>3</v>
      </c>
      <c r="D2" s="118" t="s">
        <v>4</v>
      </c>
      <c r="E2" s="79" t="s">
        <v>5</v>
      </c>
      <c r="F2" s="122"/>
      <c r="G2" s="118" t="s">
        <v>6</v>
      </c>
      <c r="H2" s="118" t="s">
        <v>7</v>
      </c>
      <c r="I2" s="118" t="s">
        <v>8</v>
      </c>
      <c r="J2" s="82" t="s">
        <v>16</v>
      </c>
      <c r="K2" s="93"/>
      <c r="L2" s="90"/>
      <c r="M2" s="41"/>
      <c r="N2" s="113"/>
      <c r="O2" s="78"/>
      <c r="P2" s="78" t="s">
        <v>17</v>
      </c>
      <c r="Q2" s="78" t="s">
        <v>18</v>
      </c>
      <c r="R2" s="78" t="s">
        <v>19</v>
      </c>
      <c r="S2" s="78" t="s">
        <v>20</v>
      </c>
      <c r="T2" s="128"/>
      <c r="U2" s="78" t="s">
        <v>6</v>
      </c>
      <c r="V2" s="78" t="s">
        <v>7</v>
      </c>
      <c r="W2" s="78" t="s">
        <v>8</v>
      </c>
      <c r="X2" s="82" t="s">
        <v>16</v>
      </c>
      <c r="Y2" s="83"/>
      <c r="Z2" s="110"/>
    </row>
    <row r="3" spans="1:26" s="1" customFormat="1" ht="64.5" customHeight="1">
      <c r="A3" s="117"/>
      <c r="B3" s="120"/>
      <c r="C3" s="124"/>
      <c r="D3" s="120"/>
      <c r="E3" s="38" t="s">
        <v>9</v>
      </c>
      <c r="F3" s="38" t="s">
        <v>10</v>
      </c>
      <c r="G3" s="120"/>
      <c r="H3" s="120"/>
      <c r="I3" s="120"/>
      <c r="J3" s="94"/>
      <c r="K3" s="95"/>
      <c r="L3" s="91"/>
      <c r="M3" s="41"/>
      <c r="N3" s="114"/>
      <c r="O3" s="78"/>
      <c r="P3" s="78"/>
      <c r="Q3" s="78"/>
      <c r="R3" s="78"/>
      <c r="S3" s="38" t="s">
        <v>9</v>
      </c>
      <c r="T3" s="38" t="s">
        <v>10</v>
      </c>
      <c r="U3" s="78"/>
      <c r="V3" s="78"/>
      <c r="W3" s="78"/>
      <c r="X3" s="84"/>
      <c r="Y3" s="85"/>
      <c r="Z3" s="111"/>
    </row>
    <row r="4" spans="1:26" s="1" customFormat="1" ht="11.25">
      <c r="A4" s="67">
        <v>1</v>
      </c>
      <c r="B4" s="38">
        <v>2</v>
      </c>
      <c r="C4" s="67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40">
        <v>12</v>
      </c>
      <c r="M4" s="39"/>
      <c r="N4" s="38">
        <v>1</v>
      </c>
      <c r="O4" s="38">
        <v>2</v>
      </c>
      <c r="P4" s="38">
        <v>3</v>
      </c>
      <c r="Q4" s="38">
        <v>4</v>
      </c>
      <c r="R4" s="38">
        <v>5</v>
      </c>
      <c r="S4" s="38">
        <v>6</v>
      </c>
      <c r="T4" s="38">
        <v>7</v>
      </c>
      <c r="U4" s="38">
        <v>8</v>
      </c>
      <c r="V4" s="38">
        <v>9</v>
      </c>
      <c r="W4" s="38">
        <v>10</v>
      </c>
      <c r="X4" s="38">
        <v>11</v>
      </c>
      <c r="Y4" s="38">
        <v>12</v>
      </c>
      <c r="Z4" s="37">
        <v>13</v>
      </c>
    </row>
    <row r="5" spans="1:26" s="1" customFormat="1" ht="22.5">
      <c r="A5" s="18">
        <v>1</v>
      </c>
      <c r="B5" s="18" t="s">
        <v>60</v>
      </c>
      <c r="C5" s="18">
        <v>6.3</v>
      </c>
      <c r="D5" s="44">
        <v>0.231</v>
      </c>
      <c r="E5" s="12">
        <v>1.2</v>
      </c>
      <c r="F5" s="12" t="s">
        <v>11</v>
      </c>
      <c r="G5" s="26">
        <f aca="true" t="shared" si="0" ref="G5:G23">D5-E5</f>
        <v>-0.969</v>
      </c>
      <c r="H5" s="12">
        <v>0</v>
      </c>
      <c r="I5" s="24">
        <f>1.05*6.3</f>
        <v>6.615</v>
      </c>
      <c r="J5" s="5">
        <f>I5-H5-G5</f>
        <v>7.5840000000000005</v>
      </c>
      <c r="K5" s="5">
        <f>J5</f>
        <v>7.5840000000000005</v>
      </c>
      <c r="L5" s="17" t="s">
        <v>21</v>
      </c>
      <c r="M5" s="16"/>
      <c r="N5" s="12">
        <v>1</v>
      </c>
      <c r="O5" s="12" t="s">
        <v>60</v>
      </c>
      <c r="P5" s="12">
        <v>6.3</v>
      </c>
      <c r="Q5" s="44">
        <v>0</v>
      </c>
      <c r="R5" s="44">
        <f>Q5+D5</f>
        <v>0.231</v>
      </c>
      <c r="S5" s="12">
        <v>1.2</v>
      </c>
      <c r="T5" s="12" t="s">
        <v>11</v>
      </c>
      <c r="U5" s="26">
        <f aca="true" t="shared" si="1" ref="U5:U23">R5-S5</f>
        <v>-0.969</v>
      </c>
      <c r="V5" s="12">
        <v>0</v>
      </c>
      <c r="W5" s="24">
        <f>1.05*6.3</f>
        <v>6.615</v>
      </c>
      <c r="X5" s="5">
        <f>W5-V5-U5</f>
        <v>7.5840000000000005</v>
      </c>
      <c r="Y5" s="5">
        <f>X5</f>
        <v>7.5840000000000005</v>
      </c>
      <c r="Z5" s="12" t="s">
        <v>21</v>
      </c>
    </row>
    <row r="6" spans="1:26" s="1" customFormat="1" ht="22.5">
      <c r="A6" s="129">
        <v>2</v>
      </c>
      <c r="B6" s="12" t="s">
        <v>83</v>
      </c>
      <c r="C6" s="54">
        <v>16</v>
      </c>
      <c r="D6" s="44">
        <f>D7+D8</f>
        <v>2.904</v>
      </c>
      <c r="E6" s="12">
        <f>E7+E8</f>
        <v>3.4</v>
      </c>
      <c r="F6" s="12" t="s">
        <v>11</v>
      </c>
      <c r="G6" s="26">
        <f t="shared" si="0"/>
        <v>-0.496</v>
      </c>
      <c r="H6" s="12">
        <v>0</v>
      </c>
      <c r="I6" s="24">
        <f>1.05*16</f>
        <v>16.8</v>
      </c>
      <c r="J6" s="5">
        <f>I6-H6-G6</f>
        <v>17.296</v>
      </c>
      <c r="K6" s="86">
        <f>MIN(J6:J8)</f>
        <v>14.787</v>
      </c>
      <c r="L6" s="89" t="s">
        <v>21</v>
      </c>
      <c r="M6" s="16"/>
      <c r="N6" s="89">
        <v>2</v>
      </c>
      <c r="O6" s="12" t="s">
        <v>83</v>
      </c>
      <c r="P6" s="15">
        <v>16</v>
      </c>
      <c r="Q6" s="63">
        <f>Q8</f>
        <v>0.0508</v>
      </c>
      <c r="R6" s="44">
        <f>Q6+D6</f>
        <v>2.9548</v>
      </c>
      <c r="S6" s="12">
        <f>S7+S8</f>
        <v>2.6</v>
      </c>
      <c r="T6" s="12" t="s">
        <v>11</v>
      </c>
      <c r="U6" s="26">
        <f t="shared" si="1"/>
        <v>0.3548</v>
      </c>
      <c r="V6" s="12">
        <v>0</v>
      </c>
      <c r="W6" s="24">
        <f>1.05*16</f>
        <v>16.8</v>
      </c>
      <c r="X6" s="5">
        <f>W6-V6-U6</f>
        <v>16.4452</v>
      </c>
      <c r="Y6" s="86">
        <f>MIN(X6:X8)</f>
        <v>14.787</v>
      </c>
      <c r="Z6" s="89" t="s">
        <v>21</v>
      </c>
    </row>
    <row r="7" spans="1:26" s="1" customFormat="1" ht="22.5" customHeight="1">
      <c r="A7" s="130"/>
      <c r="B7" s="27" t="s">
        <v>54</v>
      </c>
      <c r="C7" s="50">
        <v>16</v>
      </c>
      <c r="D7" s="45">
        <v>2.013</v>
      </c>
      <c r="E7" s="25">
        <v>1.5</v>
      </c>
      <c r="F7" s="12" t="s">
        <v>11</v>
      </c>
      <c r="G7" s="26">
        <f t="shared" si="0"/>
        <v>0.5129999999999999</v>
      </c>
      <c r="H7" s="25">
        <v>0</v>
      </c>
      <c r="I7" s="24">
        <f>1.05*16</f>
        <v>16.8</v>
      </c>
      <c r="J7" s="5">
        <f>I7-D7</f>
        <v>14.787</v>
      </c>
      <c r="K7" s="90"/>
      <c r="L7" s="96"/>
      <c r="M7" s="16"/>
      <c r="N7" s="96"/>
      <c r="O7" s="27" t="s">
        <v>54</v>
      </c>
      <c r="P7" s="28">
        <v>16</v>
      </c>
      <c r="Q7" s="62"/>
      <c r="R7" s="44">
        <f aca="true" t="shared" si="2" ref="R7:R69">Q7+D7</f>
        <v>2.013</v>
      </c>
      <c r="S7" s="25">
        <v>1.5</v>
      </c>
      <c r="T7" s="12" t="s">
        <v>11</v>
      </c>
      <c r="U7" s="26">
        <f t="shared" si="1"/>
        <v>0.5129999999999999</v>
      </c>
      <c r="V7" s="25">
        <v>0</v>
      </c>
      <c r="W7" s="24">
        <f>1.05*16</f>
        <v>16.8</v>
      </c>
      <c r="X7" s="5">
        <f>W7-R7</f>
        <v>14.787</v>
      </c>
      <c r="Y7" s="87"/>
      <c r="Z7" s="96"/>
    </row>
    <row r="8" spans="1:26" s="1" customFormat="1" ht="21.75" customHeight="1">
      <c r="A8" s="131"/>
      <c r="B8" s="27" t="s">
        <v>41</v>
      </c>
      <c r="C8" s="50">
        <v>16</v>
      </c>
      <c r="D8" s="45">
        <v>0.891</v>
      </c>
      <c r="E8" s="25">
        <v>1.9</v>
      </c>
      <c r="F8" s="12" t="s">
        <v>11</v>
      </c>
      <c r="G8" s="26">
        <f t="shared" si="0"/>
        <v>-1.009</v>
      </c>
      <c r="H8" s="25">
        <v>0</v>
      </c>
      <c r="I8" s="24">
        <f>1.05*16</f>
        <v>16.8</v>
      </c>
      <c r="J8" s="5">
        <f>I8-G8-H8</f>
        <v>17.809</v>
      </c>
      <c r="K8" s="91"/>
      <c r="L8" s="97"/>
      <c r="M8" s="16"/>
      <c r="N8" s="97"/>
      <c r="O8" s="27" t="s">
        <v>41</v>
      </c>
      <c r="P8" s="28">
        <v>16</v>
      </c>
      <c r="Q8" s="62">
        <f>0.051+0.003-0.0032</f>
        <v>0.0508</v>
      </c>
      <c r="R8" s="44">
        <f t="shared" si="2"/>
        <v>0.9418</v>
      </c>
      <c r="S8" s="25">
        <v>1.1</v>
      </c>
      <c r="T8" s="12" t="s">
        <v>11</v>
      </c>
      <c r="U8" s="26">
        <f t="shared" si="1"/>
        <v>-0.15820000000000012</v>
      </c>
      <c r="V8" s="25">
        <v>0</v>
      </c>
      <c r="W8" s="24">
        <f>1.05*16</f>
        <v>16.8</v>
      </c>
      <c r="X8" s="5">
        <f>W8-U8-V8</f>
        <v>16.9582</v>
      </c>
      <c r="Y8" s="88"/>
      <c r="Z8" s="97"/>
    </row>
    <row r="9" spans="1:26" s="1" customFormat="1" ht="22.5">
      <c r="A9" s="18">
        <v>3</v>
      </c>
      <c r="B9" s="18" t="s">
        <v>85</v>
      </c>
      <c r="C9" s="54">
        <v>6.3</v>
      </c>
      <c r="D9" s="44">
        <v>1.327</v>
      </c>
      <c r="E9" s="12">
        <v>1.5</v>
      </c>
      <c r="F9" s="12" t="s">
        <v>11</v>
      </c>
      <c r="G9" s="26">
        <f t="shared" si="0"/>
        <v>-0.17300000000000004</v>
      </c>
      <c r="H9" s="12">
        <v>0</v>
      </c>
      <c r="I9" s="24">
        <f>1.05*6.3</f>
        <v>6.615</v>
      </c>
      <c r="J9" s="5">
        <f aca="true" t="shared" si="3" ref="J9:J15">I9-H9-G9</f>
        <v>6.788</v>
      </c>
      <c r="K9" s="5">
        <f aca="true" t="shared" si="4" ref="K9:K14">J9</f>
        <v>6.788</v>
      </c>
      <c r="L9" s="17" t="s">
        <v>21</v>
      </c>
      <c r="M9" s="16"/>
      <c r="N9" s="12">
        <v>3</v>
      </c>
      <c r="O9" s="12" t="s">
        <v>85</v>
      </c>
      <c r="P9" s="15">
        <v>6.3</v>
      </c>
      <c r="Q9" s="63">
        <f>0.047+0.005+0.001+0.011+0.065+0.048+0.016+0.01+0.0484-0.064+0.0161</f>
        <v>0.20350000000000001</v>
      </c>
      <c r="R9" s="44">
        <f t="shared" si="2"/>
        <v>1.5305</v>
      </c>
      <c r="S9" s="12">
        <v>1.5</v>
      </c>
      <c r="T9" s="12" t="s">
        <v>11</v>
      </c>
      <c r="U9" s="26">
        <f t="shared" si="1"/>
        <v>0.03049999999999997</v>
      </c>
      <c r="V9" s="12">
        <v>0</v>
      </c>
      <c r="W9" s="24">
        <f>1.05*6.3</f>
        <v>6.615</v>
      </c>
      <c r="X9" s="5">
        <f aca="true" t="shared" si="5" ref="X9:X15">W9-V9-U9</f>
        <v>6.5845</v>
      </c>
      <c r="Y9" s="5">
        <f aca="true" t="shared" si="6" ref="Y9:Y14">X9</f>
        <v>6.5845</v>
      </c>
      <c r="Z9" s="12" t="s">
        <v>21</v>
      </c>
    </row>
    <row r="10" spans="1:26" s="1" customFormat="1" ht="22.5">
      <c r="A10" s="18">
        <v>4</v>
      </c>
      <c r="B10" s="18" t="s">
        <v>90</v>
      </c>
      <c r="C10" s="54">
        <v>6.3</v>
      </c>
      <c r="D10" s="44">
        <v>0.366</v>
      </c>
      <c r="E10" s="12">
        <v>0.361</v>
      </c>
      <c r="F10" s="12" t="s">
        <v>11</v>
      </c>
      <c r="G10" s="26">
        <f t="shared" si="0"/>
        <v>0.0050000000000000044</v>
      </c>
      <c r="H10" s="12">
        <v>0</v>
      </c>
      <c r="I10" s="24">
        <f>1.05*6.3</f>
        <v>6.615</v>
      </c>
      <c r="J10" s="5">
        <f t="shared" si="3"/>
        <v>6.61</v>
      </c>
      <c r="K10" s="5">
        <f t="shared" si="4"/>
        <v>6.61</v>
      </c>
      <c r="L10" s="17" t="s">
        <v>21</v>
      </c>
      <c r="M10" s="16"/>
      <c r="N10" s="12">
        <v>4</v>
      </c>
      <c r="O10" s="12" t="s">
        <v>90</v>
      </c>
      <c r="P10" s="15">
        <v>6.3</v>
      </c>
      <c r="Q10" s="63">
        <f>0.016+0.005+0.0613-0.0161</f>
        <v>0.0662</v>
      </c>
      <c r="R10" s="44">
        <f t="shared" si="2"/>
        <v>0.4322</v>
      </c>
      <c r="S10" s="12">
        <v>0.361</v>
      </c>
      <c r="T10" s="12" t="s">
        <v>11</v>
      </c>
      <c r="U10" s="26">
        <f t="shared" si="1"/>
        <v>0.07119999999999999</v>
      </c>
      <c r="V10" s="12">
        <v>0</v>
      </c>
      <c r="W10" s="24">
        <f>1.05*6.3</f>
        <v>6.615</v>
      </c>
      <c r="X10" s="5">
        <f t="shared" si="5"/>
        <v>6.5438</v>
      </c>
      <c r="Y10" s="5">
        <f t="shared" si="6"/>
        <v>6.5438</v>
      </c>
      <c r="Z10" s="12" t="s">
        <v>21</v>
      </c>
    </row>
    <row r="11" spans="1:26" s="1" customFormat="1" ht="21.75" customHeight="1">
      <c r="A11" s="18">
        <v>5</v>
      </c>
      <c r="B11" s="12" t="s">
        <v>92</v>
      </c>
      <c r="C11" s="54">
        <v>10</v>
      </c>
      <c r="D11" s="44">
        <v>5.456</v>
      </c>
      <c r="E11" s="12">
        <v>6.4</v>
      </c>
      <c r="F11" s="12" t="s">
        <v>11</v>
      </c>
      <c r="G11" s="26">
        <f t="shared" si="0"/>
        <v>-0.944</v>
      </c>
      <c r="H11" s="12">
        <v>0</v>
      </c>
      <c r="I11" s="24">
        <f>1.05*10</f>
        <v>10.5</v>
      </c>
      <c r="J11" s="5">
        <f t="shared" si="3"/>
        <v>11.443999999999999</v>
      </c>
      <c r="K11" s="5">
        <f t="shared" si="4"/>
        <v>11.443999999999999</v>
      </c>
      <c r="L11" s="17" t="s">
        <v>21</v>
      </c>
      <c r="M11" s="16"/>
      <c r="N11" s="12">
        <v>5</v>
      </c>
      <c r="O11" s="12" t="s">
        <v>92</v>
      </c>
      <c r="P11" s="15">
        <v>10</v>
      </c>
      <c r="Q11" s="63">
        <f>0.129</f>
        <v>0.129</v>
      </c>
      <c r="R11" s="44">
        <f t="shared" si="2"/>
        <v>5.585000000000001</v>
      </c>
      <c r="S11" s="12">
        <v>6.4</v>
      </c>
      <c r="T11" s="12" t="s">
        <v>11</v>
      </c>
      <c r="U11" s="26">
        <f t="shared" si="1"/>
        <v>-0.8149999999999995</v>
      </c>
      <c r="V11" s="12">
        <v>0</v>
      </c>
      <c r="W11" s="24">
        <f>1.05*10</f>
        <v>10.5</v>
      </c>
      <c r="X11" s="5">
        <f t="shared" si="5"/>
        <v>11.315</v>
      </c>
      <c r="Y11" s="5">
        <f t="shared" si="6"/>
        <v>11.315</v>
      </c>
      <c r="Z11" s="12" t="s">
        <v>21</v>
      </c>
    </row>
    <row r="12" spans="1:26" s="1" customFormat="1" ht="33.75">
      <c r="A12" s="18">
        <v>1</v>
      </c>
      <c r="B12" s="12" t="s">
        <v>152</v>
      </c>
      <c r="C12" s="54">
        <v>10</v>
      </c>
      <c r="D12" s="44">
        <v>0.805</v>
      </c>
      <c r="E12" s="12">
        <v>0.671</v>
      </c>
      <c r="F12" s="12" t="s">
        <v>11</v>
      </c>
      <c r="G12" s="26">
        <f t="shared" si="0"/>
        <v>0.134</v>
      </c>
      <c r="H12" s="12">
        <v>0</v>
      </c>
      <c r="I12" s="24">
        <f>1.05*10</f>
        <v>10.5</v>
      </c>
      <c r="J12" s="5">
        <f t="shared" si="3"/>
        <v>10.366</v>
      </c>
      <c r="K12" s="5">
        <f t="shared" si="4"/>
        <v>10.366</v>
      </c>
      <c r="L12" s="17" t="s">
        <v>21</v>
      </c>
      <c r="M12" s="16"/>
      <c r="N12" s="12">
        <v>1</v>
      </c>
      <c r="O12" s="12" t="s">
        <v>152</v>
      </c>
      <c r="P12" s="15">
        <v>10</v>
      </c>
      <c r="Q12" s="63">
        <f>0.018+0.002+0.025+0.0108-0.0282</f>
        <v>0.027600000000000003</v>
      </c>
      <c r="R12" s="44">
        <f>Q12+D12</f>
        <v>0.8326</v>
      </c>
      <c r="S12" s="12">
        <v>0.671</v>
      </c>
      <c r="T12" s="12" t="s">
        <v>11</v>
      </c>
      <c r="U12" s="26">
        <f t="shared" si="1"/>
        <v>0.16159999999999997</v>
      </c>
      <c r="V12" s="12">
        <v>0</v>
      </c>
      <c r="W12" s="24">
        <f>1.05*10</f>
        <v>10.5</v>
      </c>
      <c r="X12" s="5">
        <f t="shared" si="5"/>
        <v>10.3384</v>
      </c>
      <c r="Y12" s="5">
        <f t="shared" si="6"/>
        <v>10.3384</v>
      </c>
      <c r="Z12" s="12" t="s">
        <v>21</v>
      </c>
    </row>
    <row r="13" spans="1:26" s="1" customFormat="1" ht="22.5">
      <c r="A13" s="18">
        <v>2</v>
      </c>
      <c r="B13" s="12" t="s">
        <v>153</v>
      </c>
      <c r="C13" s="54">
        <v>2.5</v>
      </c>
      <c r="D13" s="44">
        <v>0.215</v>
      </c>
      <c r="E13" s="12">
        <v>1.225</v>
      </c>
      <c r="F13" s="12" t="s">
        <v>11</v>
      </c>
      <c r="G13" s="26">
        <f t="shared" si="0"/>
        <v>-1.01</v>
      </c>
      <c r="H13" s="12">
        <v>0</v>
      </c>
      <c r="I13" s="24">
        <f>1.05*2.5</f>
        <v>2.625</v>
      </c>
      <c r="J13" s="5">
        <f t="shared" si="3"/>
        <v>3.635</v>
      </c>
      <c r="K13" s="5">
        <f t="shared" si="4"/>
        <v>3.635</v>
      </c>
      <c r="L13" s="17" t="s">
        <v>21</v>
      </c>
      <c r="M13" s="16"/>
      <c r="N13" s="12">
        <v>2</v>
      </c>
      <c r="O13" s="12" t="s">
        <v>153</v>
      </c>
      <c r="P13" s="15">
        <v>2.5</v>
      </c>
      <c r="Q13" s="63">
        <f>0.016+0.011+0.112+0.015+0.1813+0.1806+0.0032</f>
        <v>0.5191</v>
      </c>
      <c r="R13" s="44">
        <f t="shared" si="2"/>
        <v>0.7341</v>
      </c>
      <c r="S13" s="12">
        <v>1.225</v>
      </c>
      <c r="T13" s="12" t="s">
        <v>11</v>
      </c>
      <c r="U13" s="26">
        <f t="shared" si="1"/>
        <v>-0.4909000000000001</v>
      </c>
      <c r="V13" s="12">
        <v>0</v>
      </c>
      <c r="W13" s="24">
        <f>1.05*2.5</f>
        <v>2.625</v>
      </c>
      <c r="X13" s="5">
        <f t="shared" si="5"/>
        <v>3.1159</v>
      </c>
      <c r="Y13" s="5">
        <f t="shared" si="6"/>
        <v>3.1159</v>
      </c>
      <c r="Z13" s="12" t="s">
        <v>21</v>
      </c>
    </row>
    <row r="14" spans="1:26" s="1" customFormat="1" ht="22.5">
      <c r="A14" s="18">
        <v>3</v>
      </c>
      <c r="B14" s="18" t="s">
        <v>154</v>
      </c>
      <c r="C14" s="54">
        <v>6.3</v>
      </c>
      <c r="D14" s="44">
        <v>0.885</v>
      </c>
      <c r="E14" s="12">
        <v>1.187</v>
      </c>
      <c r="F14" s="12" t="s">
        <v>11</v>
      </c>
      <c r="G14" s="26">
        <f t="shared" si="0"/>
        <v>-0.30200000000000005</v>
      </c>
      <c r="H14" s="12">
        <v>0</v>
      </c>
      <c r="I14" s="24">
        <f>1.05*6.3</f>
        <v>6.615</v>
      </c>
      <c r="J14" s="5">
        <f t="shared" si="3"/>
        <v>6.917</v>
      </c>
      <c r="K14" s="5">
        <f t="shared" si="4"/>
        <v>6.917</v>
      </c>
      <c r="L14" s="17" t="s">
        <v>21</v>
      </c>
      <c r="M14" s="16"/>
      <c r="N14" s="12">
        <v>3</v>
      </c>
      <c r="O14" s="12" t="s">
        <v>154</v>
      </c>
      <c r="P14" s="15">
        <v>6.3</v>
      </c>
      <c r="Q14" s="63">
        <f>0.021+0.004+0.001+0.003+0.004+0.017+0.0043-0.0285</f>
        <v>0.0258</v>
      </c>
      <c r="R14" s="44">
        <f t="shared" si="2"/>
        <v>0.9108</v>
      </c>
      <c r="S14" s="12">
        <v>1.187</v>
      </c>
      <c r="T14" s="12" t="s">
        <v>11</v>
      </c>
      <c r="U14" s="26">
        <f t="shared" si="1"/>
        <v>-0.2762</v>
      </c>
      <c r="V14" s="12">
        <v>0</v>
      </c>
      <c r="W14" s="24">
        <f>1.05*6.3</f>
        <v>6.615</v>
      </c>
      <c r="X14" s="5">
        <f t="shared" si="5"/>
        <v>6.8912</v>
      </c>
      <c r="Y14" s="5">
        <f t="shared" si="6"/>
        <v>6.8912</v>
      </c>
      <c r="Z14" s="12" t="s">
        <v>21</v>
      </c>
    </row>
    <row r="15" spans="1:26" s="1" customFormat="1" ht="22.5">
      <c r="A15" s="129">
        <v>4</v>
      </c>
      <c r="B15" s="18" t="s">
        <v>158</v>
      </c>
      <c r="C15" s="54">
        <v>6.3</v>
      </c>
      <c r="D15" s="44">
        <f>D16+D17</f>
        <v>1.3090000000000002</v>
      </c>
      <c r="E15" s="12">
        <f>E16+E17</f>
        <v>1.6</v>
      </c>
      <c r="F15" s="12" t="s">
        <v>11</v>
      </c>
      <c r="G15" s="26">
        <f t="shared" si="0"/>
        <v>-0.2909999999999999</v>
      </c>
      <c r="H15" s="12">
        <v>0</v>
      </c>
      <c r="I15" s="24">
        <f>1.05*6.3</f>
        <v>6.615</v>
      </c>
      <c r="J15" s="5">
        <f t="shared" si="3"/>
        <v>6.906000000000001</v>
      </c>
      <c r="K15" s="86">
        <f>MIN(J15:J17)</f>
        <v>5.972</v>
      </c>
      <c r="L15" s="89" t="s">
        <v>21</v>
      </c>
      <c r="M15" s="16"/>
      <c r="N15" s="89">
        <v>4</v>
      </c>
      <c r="O15" s="12" t="s">
        <v>158</v>
      </c>
      <c r="P15" s="15">
        <v>6.3</v>
      </c>
      <c r="Q15" s="63">
        <f>Q17</f>
        <v>0.05619999999999999</v>
      </c>
      <c r="R15" s="44">
        <f>R16+R17</f>
        <v>1.3652000000000002</v>
      </c>
      <c r="S15" s="12">
        <f>S16+S17</f>
        <v>1.6</v>
      </c>
      <c r="T15" s="12" t="s">
        <v>11</v>
      </c>
      <c r="U15" s="26">
        <f t="shared" si="1"/>
        <v>-0.2347999999999999</v>
      </c>
      <c r="V15" s="12">
        <v>0</v>
      </c>
      <c r="W15" s="24">
        <f>1.05*6.3</f>
        <v>6.615</v>
      </c>
      <c r="X15" s="5">
        <f t="shared" si="5"/>
        <v>6.8498</v>
      </c>
      <c r="Y15" s="86">
        <f>MIN(X15:X17)</f>
        <v>5.972</v>
      </c>
      <c r="Z15" s="89" t="s">
        <v>21</v>
      </c>
    </row>
    <row r="16" spans="1:26" s="1" customFormat="1" ht="21" customHeight="1">
      <c r="A16" s="130"/>
      <c r="B16" s="59" t="s">
        <v>54</v>
      </c>
      <c r="C16" s="50">
        <v>6.3</v>
      </c>
      <c r="D16" s="45">
        <v>0.643</v>
      </c>
      <c r="E16" s="25">
        <v>0.9</v>
      </c>
      <c r="F16" s="12" t="s">
        <v>11</v>
      </c>
      <c r="G16" s="26">
        <v>0</v>
      </c>
      <c r="H16" s="25">
        <v>0</v>
      </c>
      <c r="I16" s="24">
        <f>1.05*6.3</f>
        <v>6.615</v>
      </c>
      <c r="J16" s="5">
        <f>I16-D16</f>
        <v>5.972</v>
      </c>
      <c r="K16" s="90"/>
      <c r="L16" s="96"/>
      <c r="M16" s="16"/>
      <c r="N16" s="96"/>
      <c r="O16" s="27" t="s">
        <v>54</v>
      </c>
      <c r="P16" s="28">
        <v>6.3</v>
      </c>
      <c r="Q16" s="62"/>
      <c r="R16" s="44">
        <f t="shared" si="2"/>
        <v>0.643</v>
      </c>
      <c r="S16" s="25">
        <v>0.9</v>
      </c>
      <c r="T16" s="12" t="s">
        <v>11</v>
      </c>
      <c r="U16" s="26">
        <v>0</v>
      </c>
      <c r="V16" s="25">
        <v>0</v>
      </c>
      <c r="W16" s="24">
        <f>1.05*6.3</f>
        <v>6.615</v>
      </c>
      <c r="X16" s="5">
        <f>W16-R16</f>
        <v>5.972</v>
      </c>
      <c r="Y16" s="87"/>
      <c r="Z16" s="96"/>
    </row>
    <row r="17" spans="1:26" s="1" customFormat="1" ht="21" customHeight="1">
      <c r="A17" s="131"/>
      <c r="B17" s="59" t="s">
        <v>41</v>
      </c>
      <c r="C17" s="50">
        <v>6.3</v>
      </c>
      <c r="D17" s="45">
        <v>0.666</v>
      </c>
      <c r="E17" s="25">
        <v>0.7</v>
      </c>
      <c r="F17" s="12" t="s">
        <v>11</v>
      </c>
      <c r="G17" s="26">
        <f t="shared" si="0"/>
        <v>-0.03399999999999992</v>
      </c>
      <c r="H17" s="25">
        <v>0</v>
      </c>
      <c r="I17" s="24">
        <f>1.05*6.3</f>
        <v>6.615</v>
      </c>
      <c r="J17" s="5">
        <f>I17-G17-H17</f>
        <v>6.649</v>
      </c>
      <c r="K17" s="91"/>
      <c r="L17" s="97"/>
      <c r="M17" s="16"/>
      <c r="N17" s="97"/>
      <c r="O17" s="27" t="s">
        <v>41</v>
      </c>
      <c r="P17" s="28">
        <v>6.3</v>
      </c>
      <c r="Q17" s="62">
        <f>0.021+0.009+0.016+0.0269-0.0177+0.001</f>
        <v>0.05619999999999999</v>
      </c>
      <c r="R17" s="44">
        <f t="shared" si="2"/>
        <v>0.7222000000000001</v>
      </c>
      <c r="S17" s="25">
        <v>0.7</v>
      </c>
      <c r="T17" s="12" t="s">
        <v>11</v>
      </c>
      <c r="U17" s="26">
        <f t="shared" si="1"/>
        <v>0.02220000000000011</v>
      </c>
      <c r="V17" s="25">
        <v>0</v>
      </c>
      <c r="W17" s="24">
        <f>1.05*6.3</f>
        <v>6.615</v>
      </c>
      <c r="X17" s="5">
        <f>W17-U17-V17</f>
        <v>6.5928</v>
      </c>
      <c r="Y17" s="88"/>
      <c r="Z17" s="97"/>
    </row>
    <row r="18" spans="1:26" s="1" customFormat="1" ht="22.5">
      <c r="A18" s="129">
        <v>5</v>
      </c>
      <c r="B18" s="12" t="s">
        <v>161</v>
      </c>
      <c r="C18" s="54">
        <v>16</v>
      </c>
      <c r="D18" s="44">
        <f>D19+D20</f>
        <v>5.093</v>
      </c>
      <c r="E18" s="12">
        <f>E19+E20</f>
        <v>4.7</v>
      </c>
      <c r="F18" s="12" t="s">
        <v>11</v>
      </c>
      <c r="G18" s="26">
        <f t="shared" si="0"/>
        <v>0.3929999999999998</v>
      </c>
      <c r="H18" s="12">
        <v>0</v>
      </c>
      <c r="I18" s="24">
        <f>1.05*16</f>
        <v>16.8</v>
      </c>
      <c r="J18" s="5">
        <f>I18-H18-G18</f>
        <v>16.407</v>
      </c>
      <c r="K18" s="86">
        <f>MIN(J18:J20)</f>
        <v>12.450000000000001</v>
      </c>
      <c r="L18" s="89" t="s">
        <v>21</v>
      </c>
      <c r="M18" s="16"/>
      <c r="N18" s="89">
        <v>5</v>
      </c>
      <c r="O18" s="12" t="s">
        <v>161</v>
      </c>
      <c r="P18" s="15">
        <v>16</v>
      </c>
      <c r="Q18" s="63">
        <f>-Q19+Q20</f>
        <v>0.0668</v>
      </c>
      <c r="R18" s="44">
        <f>R19+R20</f>
        <v>5.1598</v>
      </c>
      <c r="S18" s="12">
        <f>S19+S20</f>
        <v>4.7</v>
      </c>
      <c r="T18" s="12" t="s">
        <v>11</v>
      </c>
      <c r="U18" s="26">
        <f t="shared" si="1"/>
        <v>0.45979999999999954</v>
      </c>
      <c r="V18" s="12">
        <v>0</v>
      </c>
      <c r="W18" s="24">
        <f>1.05*16</f>
        <v>16.8</v>
      </c>
      <c r="X18" s="5">
        <f>W18-V18-U18</f>
        <v>16.340200000000003</v>
      </c>
      <c r="Y18" s="86">
        <f>MIN(X18:X20)</f>
        <v>12.450000000000001</v>
      </c>
      <c r="Z18" s="89" t="s">
        <v>21</v>
      </c>
    </row>
    <row r="19" spans="1:26" s="1" customFormat="1" ht="22.5" customHeight="1">
      <c r="A19" s="130"/>
      <c r="B19" s="59" t="s">
        <v>54</v>
      </c>
      <c r="C19" s="50">
        <v>16</v>
      </c>
      <c r="D19" s="45">
        <v>4.35</v>
      </c>
      <c r="E19" s="25">
        <v>3.8</v>
      </c>
      <c r="F19" s="12" t="s">
        <v>11</v>
      </c>
      <c r="G19" s="26">
        <f t="shared" si="0"/>
        <v>0.5499999999999998</v>
      </c>
      <c r="H19" s="25">
        <v>0</v>
      </c>
      <c r="I19" s="24">
        <f>1.05*16</f>
        <v>16.8</v>
      </c>
      <c r="J19" s="5">
        <f>I19-D19</f>
        <v>12.450000000000001</v>
      </c>
      <c r="K19" s="90"/>
      <c r="L19" s="96"/>
      <c r="M19" s="16"/>
      <c r="N19" s="96"/>
      <c r="O19" s="27" t="s">
        <v>54</v>
      </c>
      <c r="P19" s="28">
        <v>16</v>
      </c>
      <c r="Q19" s="62"/>
      <c r="R19" s="44">
        <f t="shared" si="2"/>
        <v>4.35</v>
      </c>
      <c r="S19" s="25">
        <v>3.8</v>
      </c>
      <c r="T19" s="12" t="s">
        <v>11</v>
      </c>
      <c r="U19" s="26">
        <f t="shared" si="1"/>
        <v>0.5499999999999998</v>
      </c>
      <c r="V19" s="25">
        <v>0</v>
      </c>
      <c r="W19" s="24">
        <f>1.05*16</f>
        <v>16.8</v>
      </c>
      <c r="X19" s="5">
        <f>W19-R19</f>
        <v>12.450000000000001</v>
      </c>
      <c r="Y19" s="87"/>
      <c r="Z19" s="96"/>
    </row>
    <row r="20" spans="1:26" s="1" customFormat="1" ht="21.75" customHeight="1">
      <c r="A20" s="131"/>
      <c r="B20" s="59" t="s">
        <v>41</v>
      </c>
      <c r="C20" s="50">
        <v>16</v>
      </c>
      <c r="D20" s="45">
        <v>0.743</v>
      </c>
      <c r="E20" s="25">
        <v>0.9</v>
      </c>
      <c r="F20" s="12" t="s">
        <v>11</v>
      </c>
      <c r="G20" s="26">
        <v>0</v>
      </c>
      <c r="H20" s="25">
        <v>0</v>
      </c>
      <c r="I20" s="24">
        <f>1.05*16</f>
        <v>16.8</v>
      </c>
      <c r="J20" s="5">
        <f>I20-G20-H20</f>
        <v>16.8</v>
      </c>
      <c r="K20" s="91"/>
      <c r="L20" s="97"/>
      <c r="M20" s="16"/>
      <c r="N20" s="97"/>
      <c r="O20" s="27" t="s">
        <v>41</v>
      </c>
      <c r="P20" s="28">
        <v>16</v>
      </c>
      <c r="Q20" s="62">
        <f>0.043+0.017+0.012+0.005-0.0102</f>
        <v>0.0668</v>
      </c>
      <c r="R20" s="44">
        <f t="shared" si="2"/>
        <v>0.8098</v>
      </c>
      <c r="S20" s="25">
        <v>0.9</v>
      </c>
      <c r="T20" s="12" t="s">
        <v>11</v>
      </c>
      <c r="U20" s="26">
        <v>0</v>
      </c>
      <c r="V20" s="25">
        <v>0</v>
      </c>
      <c r="W20" s="24">
        <f>1.05*16</f>
        <v>16.8</v>
      </c>
      <c r="X20" s="5">
        <f>W20-U20-V20</f>
        <v>16.8</v>
      </c>
      <c r="Y20" s="88"/>
      <c r="Z20" s="97"/>
    </row>
    <row r="21" spans="1:26" s="1" customFormat="1" ht="22.5">
      <c r="A21" s="129">
        <v>6</v>
      </c>
      <c r="B21" s="12" t="s">
        <v>146</v>
      </c>
      <c r="C21" s="54">
        <v>6.3</v>
      </c>
      <c r="D21" s="44">
        <f>D22+D23</f>
        <v>1.967</v>
      </c>
      <c r="E21" s="12">
        <f>E22+E23</f>
        <v>2.1</v>
      </c>
      <c r="F21" s="12" t="s">
        <v>11</v>
      </c>
      <c r="G21" s="26">
        <f t="shared" si="0"/>
        <v>-0.133</v>
      </c>
      <c r="H21" s="12">
        <v>0</v>
      </c>
      <c r="I21" s="24">
        <f>1.05*6.3</f>
        <v>6.615</v>
      </c>
      <c r="J21" s="5">
        <f>I21-H21-G21</f>
        <v>6.748</v>
      </c>
      <c r="K21" s="86">
        <f>MIN(J21:J23)</f>
        <v>5.385</v>
      </c>
      <c r="L21" s="89" t="s">
        <v>21</v>
      </c>
      <c r="M21" s="16"/>
      <c r="N21" s="89">
        <v>6</v>
      </c>
      <c r="O21" s="12" t="s">
        <v>146</v>
      </c>
      <c r="P21" s="15">
        <v>6.3</v>
      </c>
      <c r="Q21" s="63">
        <f>Q23</f>
        <v>0.5018</v>
      </c>
      <c r="R21" s="44">
        <f>R22+R23</f>
        <v>2.4688</v>
      </c>
      <c r="S21" s="12">
        <f>S22+S23</f>
        <v>2.1</v>
      </c>
      <c r="T21" s="12" t="s">
        <v>11</v>
      </c>
      <c r="U21" s="26">
        <f t="shared" si="1"/>
        <v>0.3687999999999998</v>
      </c>
      <c r="V21" s="12">
        <v>0</v>
      </c>
      <c r="W21" s="24">
        <f>1.05*6.3</f>
        <v>6.615</v>
      </c>
      <c r="X21" s="5">
        <f>W21-V21-U21</f>
        <v>6.2462</v>
      </c>
      <c r="Y21" s="86">
        <f>MIN(X21:X23)</f>
        <v>5.385</v>
      </c>
      <c r="Z21" s="89" t="s">
        <v>21</v>
      </c>
    </row>
    <row r="22" spans="1:26" s="1" customFormat="1" ht="21" customHeight="1">
      <c r="A22" s="130"/>
      <c r="B22" s="59" t="s">
        <v>54</v>
      </c>
      <c r="C22" s="50">
        <v>6.3</v>
      </c>
      <c r="D22" s="45">
        <v>1.23</v>
      </c>
      <c r="E22" s="25">
        <v>1.1</v>
      </c>
      <c r="F22" s="12" t="s">
        <v>11</v>
      </c>
      <c r="G22" s="26">
        <v>0</v>
      </c>
      <c r="H22" s="25">
        <v>0</v>
      </c>
      <c r="I22" s="24">
        <f>1.05*6.3</f>
        <v>6.615</v>
      </c>
      <c r="J22" s="5">
        <f>I22-D22</f>
        <v>5.385</v>
      </c>
      <c r="K22" s="90"/>
      <c r="L22" s="96"/>
      <c r="M22" s="16"/>
      <c r="N22" s="96"/>
      <c r="O22" s="27" t="s">
        <v>54</v>
      </c>
      <c r="P22" s="28">
        <v>6.3</v>
      </c>
      <c r="Q22" s="62"/>
      <c r="R22" s="44">
        <f t="shared" si="2"/>
        <v>1.23</v>
      </c>
      <c r="S22" s="25">
        <v>1.1</v>
      </c>
      <c r="T22" s="12" t="s">
        <v>11</v>
      </c>
      <c r="U22" s="26">
        <v>0</v>
      </c>
      <c r="V22" s="25">
        <v>0</v>
      </c>
      <c r="W22" s="24">
        <f>1.05*6.3</f>
        <v>6.615</v>
      </c>
      <c r="X22" s="5">
        <f>W22-R22</f>
        <v>5.385</v>
      </c>
      <c r="Y22" s="87"/>
      <c r="Z22" s="96"/>
    </row>
    <row r="23" spans="1:26" s="1" customFormat="1" ht="20.25" customHeight="1">
      <c r="A23" s="131"/>
      <c r="B23" s="59" t="s">
        <v>41</v>
      </c>
      <c r="C23" s="50">
        <v>6.3</v>
      </c>
      <c r="D23" s="45">
        <v>0.737</v>
      </c>
      <c r="E23" s="25">
        <v>1</v>
      </c>
      <c r="F23" s="12" t="s">
        <v>11</v>
      </c>
      <c r="G23" s="26">
        <f t="shared" si="0"/>
        <v>-0.263</v>
      </c>
      <c r="H23" s="25">
        <v>0</v>
      </c>
      <c r="I23" s="24">
        <f>1.05*6.3</f>
        <v>6.615</v>
      </c>
      <c r="J23" s="5">
        <f>I23-G23-H23</f>
        <v>6.878</v>
      </c>
      <c r="K23" s="91"/>
      <c r="L23" s="97"/>
      <c r="M23" s="16"/>
      <c r="N23" s="97"/>
      <c r="O23" s="27" t="s">
        <v>41</v>
      </c>
      <c r="P23" s="28">
        <v>6.3</v>
      </c>
      <c r="Q23" s="62">
        <f>0.082+0.016+0.005+0.005+0.181+0.0161+0.1806+0.0161</f>
        <v>0.5018</v>
      </c>
      <c r="R23" s="44">
        <f t="shared" si="2"/>
        <v>1.2388</v>
      </c>
      <c r="S23" s="25">
        <v>1</v>
      </c>
      <c r="T23" s="12" t="s">
        <v>11</v>
      </c>
      <c r="U23" s="26">
        <f t="shared" si="1"/>
        <v>0.2387999999999999</v>
      </c>
      <c r="V23" s="25">
        <v>0</v>
      </c>
      <c r="W23" s="24">
        <f>1.05*6.3</f>
        <v>6.615</v>
      </c>
      <c r="X23" s="5">
        <f>W23-U23-V23</f>
        <v>6.376200000000001</v>
      </c>
      <c r="Y23" s="88"/>
      <c r="Z23" s="97"/>
    </row>
    <row r="24" spans="1:26" s="1" customFormat="1" ht="22.5">
      <c r="A24" s="18">
        <v>7</v>
      </c>
      <c r="B24" s="12" t="s">
        <v>94</v>
      </c>
      <c r="C24" s="54">
        <v>2.5</v>
      </c>
      <c r="D24" s="44">
        <v>0.338</v>
      </c>
      <c r="E24" s="12">
        <f aca="true" t="shared" si="7" ref="E24:E46">D24</f>
        <v>0.338</v>
      </c>
      <c r="F24" s="12" t="s">
        <v>11</v>
      </c>
      <c r="G24" s="5">
        <f aca="true" t="shared" si="8" ref="G24:G46">E24</f>
        <v>0.338</v>
      </c>
      <c r="H24" s="25">
        <v>0</v>
      </c>
      <c r="I24" s="5">
        <f aca="true" t="shared" si="9" ref="I24:I46">G24-H24</f>
        <v>0.338</v>
      </c>
      <c r="J24" s="5">
        <f aca="true" t="shared" si="10" ref="J24:J46">I24-D24</f>
        <v>0</v>
      </c>
      <c r="K24" s="5">
        <f aca="true" t="shared" si="11" ref="K24:K46">J24</f>
        <v>0</v>
      </c>
      <c r="L24" s="17" t="s">
        <v>21</v>
      </c>
      <c r="M24" s="16"/>
      <c r="N24" s="12">
        <v>7</v>
      </c>
      <c r="O24" s="12" t="s">
        <v>94</v>
      </c>
      <c r="P24" s="15">
        <v>2.5</v>
      </c>
      <c r="Q24" s="63">
        <f>0.019+0.016+0.024+0.0129-0.007+0.0108</f>
        <v>0.0757</v>
      </c>
      <c r="R24" s="44">
        <f t="shared" si="2"/>
        <v>0.4137</v>
      </c>
      <c r="S24" s="12">
        <f aca="true" t="shared" si="12" ref="S24:S46">R24</f>
        <v>0.4137</v>
      </c>
      <c r="T24" s="12" t="s">
        <v>11</v>
      </c>
      <c r="U24" s="5">
        <f aca="true" t="shared" si="13" ref="U24:U46">S24</f>
        <v>0.4137</v>
      </c>
      <c r="V24" s="25">
        <v>0</v>
      </c>
      <c r="W24" s="5">
        <f aca="true" t="shared" si="14" ref="W24:W46">U24-V24</f>
        <v>0.4137</v>
      </c>
      <c r="X24" s="5">
        <f aca="true" t="shared" si="15" ref="X24:X46">W24-R24</f>
        <v>0</v>
      </c>
      <c r="Y24" s="5">
        <f aca="true" t="shared" si="16" ref="Y24:Y46">X24</f>
        <v>0</v>
      </c>
      <c r="Z24" s="12" t="s">
        <v>21</v>
      </c>
    </row>
    <row r="25" spans="1:26" s="1" customFormat="1" ht="22.5">
      <c r="A25" s="18">
        <v>8</v>
      </c>
      <c r="B25" s="12" t="s">
        <v>95</v>
      </c>
      <c r="C25" s="54">
        <v>1.6</v>
      </c>
      <c r="D25" s="44">
        <v>0.375</v>
      </c>
      <c r="E25" s="12">
        <f t="shared" si="7"/>
        <v>0.375</v>
      </c>
      <c r="F25" s="12" t="s">
        <v>11</v>
      </c>
      <c r="G25" s="5">
        <f t="shared" si="8"/>
        <v>0.375</v>
      </c>
      <c r="H25" s="25">
        <v>0</v>
      </c>
      <c r="I25" s="5">
        <f t="shared" si="9"/>
        <v>0.375</v>
      </c>
      <c r="J25" s="5">
        <f t="shared" si="10"/>
        <v>0</v>
      </c>
      <c r="K25" s="5">
        <f t="shared" si="11"/>
        <v>0</v>
      </c>
      <c r="L25" s="17" t="s">
        <v>21</v>
      </c>
      <c r="M25" s="16"/>
      <c r="N25" s="12">
        <v>8</v>
      </c>
      <c r="O25" s="12" t="s">
        <v>95</v>
      </c>
      <c r="P25" s="15">
        <v>1.6</v>
      </c>
      <c r="Q25" s="63">
        <v>0</v>
      </c>
      <c r="R25" s="44">
        <f t="shared" si="2"/>
        <v>0.375</v>
      </c>
      <c r="S25" s="12">
        <f t="shared" si="12"/>
        <v>0.375</v>
      </c>
      <c r="T25" s="12" t="s">
        <v>11</v>
      </c>
      <c r="U25" s="5">
        <f t="shared" si="13"/>
        <v>0.375</v>
      </c>
      <c r="V25" s="25">
        <v>0</v>
      </c>
      <c r="W25" s="5">
        <f t="shared" si="14"/>
        <v>0.375</v>
      </c>
      <c r="X25" s="5">
        <f t="shared" si="15"/>
        <v>0</v>
      </c>
      <c r="Y25" s="5">
        <f t="shared" si="16"/>
        <v>0</v>
      </c>
      <c r="Z25" s="12" t="s">
        <v>21</v>
      </c>
    </row>
    <row r="26" spans="1:26" s="1" customFormat="1" ht="22.5">
      <c r="A26" s="18">
        <v>9</v>
      </c>
      <c r="B26" s="12" t="s">
        <v>107</v>
      </c>
      <c r="C26" s="54">
        <v>2.5</v>
      </c>
      <c r="D26" s="44">
        <v>0.354</v>
      </c>
      <c r="E26" s="12">
        <f t="shared" si="7"/>
        <v>0.354</v>
      </c>
      <c r="F26" s="12" t="s">
        <v>11</v>
      </c>
      <c r="G26" s="5">
        <f t="shared" si="8"/>
        <v>0.354</v>
      </c>
      <c r="H26" s="25">
        <v>0</v>
      </c>
      <c r="I26" s="5">
        <f t="shared" si="9"/>
        <v>0.354</v>
      </c>
      <c r="J26" s="5">
        <f t="shared" si="10"/>
        <v>0</v>
      </c>
      <c r="K26" s="5">
        <f t="shared" si="11"/>
        <v>0</v>
      </c>
      <c r="L26" s="17" t="s">
        <v>21</v>
      </c>
      <c r="M26" s="16"/>
      <c r="N26" s="12">
        <v>9</v>
      </c>
      <c r="O26" s="12" t="s">
        <v>107</v>
      </c>
      <c r="P26" s="15">
        <v>2.5</v>
      </c>
      <c r="Q26" s="63">
        <f>0.091+0.016+0.009+0.288+0.487+0.005+0.0054-0.2091</f>
        <v>0.6922999999999999</v>
      </c>
      <c r="R26" s="44">
        <f t="shared" si="2"/>
        <v>1.0463</v>
      </c>
      <c r="S26" s="12">
        <f t="shared" si="12"/>
        <v>1.0463</v>
      </c>
      <c r="T26" s="12" t="s">
        <v>11</v>
      </c>
      <c r="U26" s="5">
        <f t="shared" si="13"/>
        <v>1.0463</v>
      </c>
      <c r="V26" s="25">
        <v>0</v>
      </c>
      <c r="W26" s="5">
        <f t="shared" si="14"/>
        <v>1.0463</v>
      </c>
      <c r="X26" s="5">
        <f t="shared" si="15"/>
        <v>0</v>
      </c>
      <c r="Y26" s="5">
        <f t="shared" si="16"/>
        <v>0</v>
      </c>
      <c r="Z26" s="12" t="s">
        <v>21</v>
      </c>
    </row>
    <row r="27" spans="1:26" s="1" customFormat="1" ht="22.5">
      <c r="A27" s="18">
        <v>10</v>
      </c>
      <c r="B27" s="12" t="s">
        <v>108</v>
      </c>
      <c r="C27" s="54">
        <v>2.5</v>
      </c>
      <c r="D27" s="44">
        <v>0.354</v>
      </c>
      <c r="E27" s="12">
        <f t="shared" si="7"/>
        <v>0.354</v>
      </c>
      <c r="F27" s="12" t="s">
        <v>11</v>
      </c>
      <c r="G27" s="5">
        <f t="shared" si="8"/>
        <v>0.354</v>
      </c>
      <c r="H27" s="25">
        <v>0</v>
      </c>
      <c r="I27" s="5">
        <f t="shared" si="9"/>
        <v>0.354</v>
      </c>
      <c r="J27" s="5">
        <f t="shared" si="10"/>
        <v>0</v>
      </c>
      <c r="K27" s="5">
        <f t="shared" si="11"/>
        <v>0</v>
      </c>
      <c r="L27" s="17" t="s">
        <v>21</v>
      </c>
      <c r="M27" s="16"/>
      <c r="N27" s="12">
        <v>10</v>
      </c>
      <c r="O27" s="12" t="s">
        <v>108</v>
      </c>
      <c r="P27" s="15">
        <v>2.5</v>
      </c>
      <c r="Q27" s="63">
        <f>0.001+0.01+0.0161+0.0161+0.0032</f>
        <v>0.046400000000000004</v>
      </c>
      <c r="R27" s="44">
        <f t="shared" si="2"/>
        <v>0.4004</v>
      </c>
      <c r="S27" s="12">
        <f t="shared" si="12"/>
        <v>0.4004</v>
      </c>
      <c r="T27" s="12" t="s">
        <v>11</v>
      </c>
      <c r="U27" s="5">
        <f t="shared" si="13"/>
        <v>0.4004</v>
      </c>
      <c r="V27" s="25">
        <v>0</v>
      </c>
      <c r="W27" s="5">
        <f t="shared" si="14"/>
        <v>0.4004</v>
      </c>
      <c r="X27" s="5">
        <f t="shared" si="15"/>
        <v>0</v>
      </c>
      <c r="Y27" s="5">
        <f t="shared" si="16"/>
        <v>0</v>
      </c>
      <c r="Z27" s="12" t="s">
        <v>21</v>
      </c>
    </row>
    <row r="28" spans="1:26" s="1" customFormat="1" ht="22.5">
      <c r="A28" s="18">
        <v>11</v>
      </c>
      <c r="B28" s="12" t="s">
        <v>205</v>
      </c>
      <c r="C28" s="54">
        <v>4</v>
      </c>
      <c r="D28" s="44">
        <v>0.851</v>
      </c>
      <c r="E28" s="12">
        <f t="shared" si="7"/>
        <v>0.851</v>
      </c>
      <c r="F28" s="12" t="s">
        <v>11</v>
      </c>
      <c r="G28" s="5">
        <f t="shared" si="8"/>
        <v>0.851</v>
      </c>
      <c r="H28" s="25">
        <v>0</v>
      </c>
      <c r="I28" s="5">
        <f t="shared" si="9"/>
        <v>0.851</v>
      </c>
      <c r="J28" s="5">
        <f t="shared" si="10"/>
        <v>0</v>
      </c>
      <c r="K28" s="5">
        <f t="shared" si="11"/>
        <v>0</v>
      </c>
      <c r="L28" s="17" t="s">
        <v>21</v>
      </c>
      <c r="M28" s="16"/>
      <c r="N28" s="12">
        <v>11</v>
      </c>
      <c r="O28" s="12" t="s">
        <v>112</v>
      </c>
      <c r="P28" s="15">
        <v>4</v>
      </c>
      <c r="Q28" s="63">
        <v>0.003</v>
      </c>
      <c r="R28" s="44">
        <f t="shared" si="2"/>
        <v>0.854</v>
      </c>
      <c r="S28" s="12">
        <f t="shared" si="12"/>
        <v>0.854</v>
      </c>
      <c r="T28" s="12" t="s">
        <v>11</v>
      </c>
      <c r="U28" s="5">
        <f t="shared" si="13"/>
        <v>0.854</v>
      </c>
      <c r="V28" s="25">
        <v>0</v>
      </c>
      <c r="W28" s="5">
        <f t="shared" si="14"/>
        <v>0.854</v>
      </c>
      <c r="X28" s="5">
        <f t="shared" si="15"/>
        <v>0</v>
      </c>
      <c r="Y28" s="5">
        <f t="shared" si="16"/>
        <v>0</v>
      </c>
      <c r="Z28" s="12" t="s">
        <v>21</v>
      </c>
    </row>
    <row r="29" spans="1:26" s="1" customFormat="1" ht="27" customHeight="1">
      <c r="A29" s="18">
        <v>12</v>
      </c>
      <c r="B29" s="12" t="s">
        <v>118</v>
      </c>
      <c r="C29" s="54">
        <v>4</v>
      </c>
      <c r="D29" s="44">
        <v>0.819</v>
      </c>
      <c r="E29" s="12">
        <f t="shared" si="7"/>
        <v>0.819</v>
      </c>
      <c r="F29" s="12" t="s">
        <v>11</v>
      </c>
      <c r="G29" s="5">
        <f t="shared" si="8"/>
        <v>0.819</v>
      </c>
      <c r="H29" s="25">
        <v>0</v>
      </c>
      <c r="I29" s="5">
        <f t="shared" si="9"/>
        <v>0.819</v>
      </c>
      <c r="J29" s="5">
        <f t="shared" si="10"/>
        <v>0</v>
      </c>
      <c r="K29" s="5">
        <f t="shared" si="11"/>
        <v>0</v>
      </c>
      <c r="L29" s="17" t="s">
        <v>21</v>
      </c>
      <c r="M29" s="16"/>
      <c r="N29" s="12">
        <v>12</v>
      </c>
      <c r="O29" s="12" t="s">
        <v>118</v>
      </c>
      <c r="P29" s="15">
        <v>4</v>
      </c>
      <c r="Q29" s="63">
        <f>0.031+0.018+0.005+0.005+0.011+0.016+0.005+0.007</f>
        <v>0.098</v>
      </c>
      <c r="R29" s="44">
        <f t="shared" si="2"/>
        <v>0.9169999999999999</v>
      </c>
      <c r="S29" s="12">
        <f t="shared" si="12"/>
        <v>0.9169999999999999</v>
      </c>
      <c r="T29" s="12" t="s">
        <v>11</v>
      </c>
      <c r="U29" s="5">
        <f t="shared" si="13"/>
        <v>0.9169999999999999</v>
      </c>
      <c r="V29" s="25">
        <v>0</v>
      </c>
      <c r="W29" s="5">
        <f t="shared" si="14"/>
        <v>0.9169999999999999</v>
      </c>
      <c r="X29" s="5">
        <f t="shared" si="15"/>
        <v>0</v>
      </c>
      <c r="Y29" s="5">
        <f t="shared" si="16"/>
        <v>0</v>
      </c>
      <c r="Z29" s="12" t="s">
        <v>21</v>
      </c>
    </row>
    <row r="30" spans="1:26" s="1" customFormat="1" ht="22.5">
      <c r="A30" s="18">
        <v>13</v>
      </c>
      <c r="B30" s="12" t="s">
        <v>119</v>
      </c>
      <c r="C30" s="54">
        <v>1.6</v>
      </c>
      <c r="D30" s="44">
        <v>0.332</v>
      </c>
      <c r="E30" s="12">
        <f t="shared" si="7"/>
        <v>0.332</v>
      </c>
      <c r="F30" s="12" t="s">
        <v>11</v>
      </c>
      <c r="G30" s="5">
        <f t="shared" si="8"/>
        <v>0.332</v>
      </c>
      <c r="H30" s="25">
        <v>0</v>
      </c>
      <c r="I30" s="5">
        <f t="shared" si="9"/>
        <v>0.332</v>
      </c>
      <c r="J30" s="5">
        <f t="shared" si="10"/>
        <v>0</v>
      </c>
      <c r="K30" s="5">
        <f t="shared" si="11"/>
        <v>0</v>
      </c>
      <c r="L30" s="17" t="s">
        <v>21</v>
      </c>
      <c r="M30" s="16"/>
      <c r="N30" s="12">
        <v>13</v>
      </c>
      <c r="O30" s="12" t="s">
        <v>119</v>
      </c>
      <c r="P30" s="15">
        <v>1.6</v>
      </c>
      <c r="Q30" s="63">
        <f>0.016+0.725-0.109</f>
        <v>0.632</v>
      </c>
      <c r="R30" s="44">
        <f t="shared" si="2"/>
        <v>0.964</v>
      </c>
      <c r="S30" s="12">
        <f t="shared" si="12"/>
        <v>0.964</v>
      </c>
      <c r="T30" s="12" t="s">
        <v>11</v>
      </c>
      <c r="U30" s="5">
        <f t="shared" si="13"/>
        <v>0.964</v>
      </c>
      <c r="V30" s="25">
        <v>0</v>
      </c>
      <c r="W30" s="5">
        <f t="shared" si="14"/>
        <v>0.964</v>
      </c>
      <c r="X30" s="5">
        <f t="shared" si="15"/>
        <v>0</v>
      </c>
      <c r="Y30" s="5">
        <f t="shared" si="16"/>
        <v>0</v>
      </c>
      <c r="Z30" s="12" t="s">
        <v>21</v>
      </c>
    </row>
    <row r="31" spans="1:26" s="1" customFormat="1" ht="22.5">
      <c r="A31" s="18">
        <v>14</v>
      </c>
      <c r="B31" s="12" t="s">
        <v>130</v>
      </c>
      <c r="C31" s="54">
        <v>2.5</v>
      </c>
      <c r="D31" s="44">
        <v>0.591</v>
      </c>
      <c r="E31" s="12">
        <f t="shared" si="7"/>
        <v>0.591</v>
      </c>
      <c r="F31" s="12" t="s">
        <v>11</v>
      </c>
      <c r="G31" s="5">
        <f t="shared" si="8"/>
        <v>0.591</v>
      </c>
      <c r="H31" s="25">
        <v>0</v>
      </c>
      <c r="I31" s="5">
        <f t="shared" si="9"/>
        <v>0.591</v>
      </c>
      <c r="J31" s="5">
        <f t="shared" si="10"/>
        <v>0</v>
      </c>
      <c r="K31" s="5">
        <f t="shared" si="11"/>
        <v>0</v>
      </c>
      <c r="L31" s="17" t="s">
        <v>21</v>
      </c>
      <c r="M31" s="16"/>
      <c r="N31" s="12">
        <v>14</v>
      </c>
      <c r="O31" s="12" t="s">
        <v>130</v>
      </c>
      <c r="P31" s="15">
        <v>2.5</v>
      </c>
      <c r="Q31" s="63">
        <f>0.002+0.003</f>
        <v>0.005</v>
      </c>
      <c r="R31" s="44">
        <f t="shared" si="2"/>
        <v>0.596</v>
      </c>
      <c r="S31" s="12">
        <f t="shared" si="12"/>
        <v>0.596</v>
      </c>
      <c r="T31" s="12" t="s">
        <v>11</v>
      </c>
      <c r="U31" s="5">
        <f t="shared" si="13"/>
        <v>0.596</v>
      </c>
      <c r="V31" s="25">
        <v>0</v>
      </c>
      <c r="W31" s="5">
        <f t="shared" si="14"/>
        <v>0.596</v>
      </c>
      <c r="X31" s="5">
        <f t="shared" si="15"/>
        <v>0</v>
      </c>
      <c r="Y31" s="5">
        <f t="shared" si="16"/>
        <v>0</v>
      </c>
      <c r="Z31" s="12" t="s">
        <v>21</v>
      </c>
    </row>
    <row r="32" spans="1:26" s="1" customFormat="1" ht="22.5">
      <c r="A32" s="18">
        <v>15</v>
      </c>
      <c r="B32" s="12" t="s">
        <v>131</v>
      </c>
      <c r="C32" s="54">
        <v>2.5</v>
      </c>
      <c r="D32" s="44">
        <v>0.328</v>
      </c>
      <c r="E32" s="12">
        <f t="shared" si="7"/>
        <v>0.328</v>
      </c>
      <c r="F32" s="12" t="s">
        <v>11</v>
      </c>
      <c r="G32" s="5">
        <f t="shared" si="8"/>
        <v>0.328</v>
      </c>
      <c r="H32" s="25">
        <v>0</v>
      </c>
      <c r="I32" s="5">
        <f t="shared" si="9"/>
        <v>0.328</v>
      </c>
      <c r="J32" s="5">
        <f t="shared" si="10"/>
        <v>0</v>
      </c>
      <c r="K32" s="5">
        <f t="shared" si="11"/>
        <v>0</v>
      </c>
      <c r="L32" s="17" t="s">
        <v>21</v>
      </c>
      <c r="M32" s="16"/>
      <c r="N32" s="12">
        <v>15</v>
      </c>
      <c r="O32" s="12" t="s">
        <v>131</v>
      </c>
      <c r="P32" s="15">
        <v>2.5</v>
      </c>
      <c r="Q32" s="63">
        <f>0.005+0.0161</f>
        <v>0.0211</v>
      </c>
      <c r="R32" s="44">
        <f t="shared" si="2"/>
        <v>0.3491</v>
      </c>
      <c r="S32" s="12">
        <f t="shared" si="12"/>
        <v>0.3491</v>
      </c>
      <c r="T32" s="12" t="s">
        <v>11</v>
      </c>
      <c r="U32" s="5">
        <f t="shared" si="13"/>
        <v>0.3491</v>
      </c>
      <c r="V32" s="25">
        <v>0</v>
      </c>
      <c r="W32" s="5">
        <f t="shared" si="14"/>
        <v>0.3491</v>
      </c>
      <c r="X32" s="5">
        <f t="shared" si="15"/>
        <v>0</v>
      </c>
      <c r="Y32" s="5">
        <f t="shared" si="16"/>
        <v>0</v>
      </c>
      <c r="Z32" s="12" t="s">
        <v>21</v>
      </c>
    </row>
    <row r="33" spans="1:26" s="1" customFormat="1" ht="22.5">
      <c r="A33" s="18">
        <v>16</v>
      </c>
      <c r="B33" s="12" t="s">
        <v>132</v>
      </c>
      <c r="C33" s="54">
        <v>2.5</v>
      </c>
      <c r="D33" s="44">
        <v>0.789</v>
      </c>
      <c r="E33" s="12">
        <f t="shared" si="7"/>
        <v>0.789</v>
      </c>
      <c r="F33" s="12" t="s">
        <v>11</v>
      </c>
      <c r="G33" s="5">
        <f t="shared" si="8"/>
        <v>0.789</v>
      </c>
      <c r="H33" s="25">
        <v>0</v>
      </c>
      <c r="I33" s="5">
        <f t="shared" si="9"/>
        <v>0.789</v>
      </c>
      <c r="J33" s="5">
        <f t="shared" si="10"/>
        <v>0</v>
      </c>
      <c r="K33" s="5">
        <f t="shared" si="11"/>
        <v>0</v>
      </c>
      <c r="L33" s="17" t="s">
        <v>21</v>
      </c>
      <c r="M33" s="16"/>
      <c r="N33" s="12">
        <v>16</v>
      </c>
      <c r="O33" s="12" t="s">
        <v>132</v>
      </c>
      <c r="P33" s="15">
        <v>2.5</v>
      </c>
      <c r="Q33" s="63">
        <f>0.01</f>
        <v>0.01</v>
      </c>
      <c r="R33" s="44">
        <f t="shared" si="2"/>
        <v>0.799</v>
      </c>
      <c r="S33" s="12">
        <f t="shared" si="12"/>
        <v>0.799</v>
      </c>
      <c r="T33" s="12" t="s">
        <v>11</v>
      </c>
      <c r="U33" s="5">
        <f t="shared" si="13"/>
        <v>0.799</v>
      </c>
      <c r="V33" s="25">
        <v>0</v>
      </c>
      <c r="W33" s="5">
        <f t="shared" si="14"/>
        <v>0.799</v>
      </c>
      <c r="X33" s="5">
        <f t="shared" si="15"/>
        <v>0</v>
      </c>
      <c r="Y33" s="5">
        <f t="shared" si="16"/>
        <v>0</v>
      </c>
      <c r="Z33" s="12" t="s">
        <v>21</v>
      </c>
    </row>
    <row r="34" spans="1:26" s="1" customFormat="1" ht="22.5">
      <c r="A34" s="18">
        <v>17</v>
      </c>
      <c r="B34" s="12" t="s">
        <v>133</v>
      </c>
      <c r="C34" s="54">
        <v>4</v>
      </c>
      <c r="D34" s="44">
        <v>0.3</v>
      </c>
      <c r="E34" s="12">
        <f t="shared" si="7"/>
        <v>0.3</v>
      </c>
      <c r="F34" s="12" t="s">
        <v>11</v>
      </c>
      <c r="G34" s="5">
        <f t="shared" si="8"/>
        <v>0.3</v>
      </c>
      <c r="H34" s="25">
        <v>0</v>
      </c>
      <c r="I34" s="5">
        <f t="shared" si="9"/>
        <v>0.3</v>
      </c>
      <c r="J34" s="5">
        <f t="shared" si="10"/>
        <v>0</v>
      </c>
      <c r="K34" s="5">
        <f t="shared" si="11"/>
        <v>0</v>
      </c>
      <c r="L34" s="17" t="s">
        <v>21</v>
      </c>
      <c r="M34" s="16"/>
      <c r="N34" s="12">
        <v>17</v>
      </c>
      <c r="O34" s="12" t="s">
        <v>133</v>
      </c>
      <c r="P34" s="15">
        <v>4</v>
      </c>
      <c r="Q34" s="63">
        <f>0.005+0.0043-0.0054+0.0032</f>
        <v>0.007099999999999999</v>
      </c>
      <c r="R34" s="44">
        <f t="shared" si="2"/>
        <v>0.3071</v>
      </c>
      <c r="S34" s="12">
        <f t="shared" si="12"/>
        <v>0.3071</v>
      </c>
      <c r="T34" s="12" t="s">
        <v>11</v>
      </c>
      <c r="U34" s="5">
        <f t="shared" si="13"/>
        <v>0.3071</v>
      </c>
      <c r="V34" s="25">
        <v>0</v>
      </c>
      <c r="W34" s="5">
        <f t="shared" si="14"/>
        <v>0.3071</v>
      </c>
      <c r="X34" s="5">
        <f t="shared" si="15"/>
        <v>0</v>
      </c>
      <c r="Y34" s="5">
        <f t="shared" si="16"/>
        <v>0</v>
      </c>
      <c r="Z34" s="12" t="s">
        <v>21</v>
      </c>
    </row>
    <row r="35" spans="1:26" s="1" customFormat="1" ht="22.5">
      <c r="A35" s="18">
        <v>18</v>
      </c>
      <c r="B35" s="12" t="s">
        <v>134</v>
      </c>
      <c r="C35" s="54">
        <v>2.5</v>
      </c>
      <c r="D35" s="44">
        <v>0.494</v>
      </c>
      <c r="E35" s="12">
        <f t="shared" si="7"/>
        <v>0.494</v>
      </c>
      <c r="F35" s="12" t="s">
        <v>11</v>
      </c>
      <c r="G35" s="5">
        <f t="shared" si="8"/>
        <v>0.494</v>
      </c>
      <c r="H35" s="25">
        <v>0</v>
      </c>
      <c r="I35" s="5">
        <f t="shared" si="9"/>
        <v>0.494</v>
      </c>
      <c r="J35" s="5">
        <f t="shared" si="10"/>
        <v>0</v>
      </c>
      <c r="K35" s="5">
        <f t="shared" si="11"/>
        <v>0</v>
      </c>
      <c r="L35" s="17" t="s">
        <v>21</v>
      </c>
      <c r="M35" s="16"/>
      <c r="N35" s="12">
        <v>18</v>
      </c>
      <c r="O35" s="12" t="s">
        <v>134</v>
      </c>
      <c r="P35" s="15">
        <v>2.5</v>
      </c>
      <c r="Q35" s="63">
        <f>0.02+0.005+0.002+0.011+0.016+0.0161-0.0129+0.0462</f>
        <v>0.1034</v>
      </c>
      <c r="R35" s="44">
        <f t="shared" si="2"/>
        <v>0.5974</v>
      </c>
      <c r="S35" s="12">
        <f t="shared" si="12"/>
        <v>0.5974</v>
      </c>
      <c r="T35" s="12" t="s">
        <v>11</v>
      </c>
      <c r="U35" s="5">
        <f t="shared" si="13"/>
        <v>0.5974</v>
      </c>
      <c r="V35" s="25">
        <v>0</v>
      </c>
      <c r="W35" s="5">
        <f t="shared" si="14"/>
        <v>0.5974</v>
      </c>
      <c r="X35" s="5">
        <f t="shared" si="15"/>
        <v>0</v>
      </c>
      <c r="Y35" s="5">
        <f t="shared" si="16"/>
        <v>0</v>
      </c>
      <c r="Z35" s="12" t="s">
        <v>21</v>
      </c>
    </row>
    <row r="36" spans="1:26" s="1" customFormat="1" ht="22.5">
      <c r="A36" s="18">
        <v>19</v>
      </c>
      <c r="B36" s="12" t="s">
        <v>137</v>
      </c>
      <c r="C36" s="54">
        <v>4</v>
      </c>
      <c r="D36" s="44">
        <v>0.772</v>
      </c>
      <c r="E36" s="12">
        <f t="shared" si="7"/>
        <v>0.772</v>
      </c>
      <c r="F36" s="12" t="s">
        <v>11</v>
      </c>
      <c r="G36" s="5">
        <f t="shared" si="8"/>
        <v>0.772</v>
      </c>
      <c r="H36" s="25">
        <v>0</v>
      </c>
      <c r="I36" s="5">
        <f t="shared" si="9"/>
        <v>0.772</v>
      </c>
      <c r="J36" s="5">
        <f t="shared" si="10"/>
        <v>0</v>
      </c>
      <c r="K36" s="5">
        <f t="shared" si="11"/>
        <v>0</v>
      </c>
      <c r="L36" s="17" t="s">
        <v>21</v>
      </c>
      <c r="M36" s="16"/>
      <c r="N36" s="12">
        <v>19</v>
      </c>
      <c r="O36" s="12" t="s">
        <v>137</v>
      </c>
      <c r="P36" s="15">
        <v>4</v>
      </c>
      <c r="Q36" s="63">
        <f>0.009+1.129+0.0161+0.0462-0.5209+0.1613+0.1613</f>
        <v>1.0019999999999998</v>
      </c>
      <c r="R36" s="44">
        <f t="shared" si="2"/>
        <v>1.7739999999999998</v>
      </c>
      <c r="S36" s="12">
        <f t="shared" si="12"/>
        <v>1.7739999999999998</v>
      </c>
      <c r="T36" s="12" t="s">
        <v>11</v>
      </c>
      <c r="U36" s="5">
        <f t="shared" si="13"/>
        <v>1.7739999999999998</v>
      </c>
      <c r="V36" s="25">
        <v>0</v>
      </c>
      <c r="W36" s="5">
        <f t="shared" si="14"/>
        <v>1.7739999999999998</v>
      </c>
      <c r="X36" s="5">
        <f t="shared" si="15"/>
        <v>0</v>
      </c>
      <c r="Y36" s="5">
        <f t="shared" si="16"/>
        <v>0</v>
      </c>
      <c r="Z36" s="12" t="s">
        <v>21</v>
      </c>
    </row>
    <row r="37" spans="1:26" s="1" customFormat="1" ht="22.5">
      <c r="A37" s="18">
        <v>20</v>
      </c>
      <c r="B37" s="12" t="s">
        <v>139</v>
      </c>
      <c r="C37" s="54">
        <v>2.5</v>
      </c>
      <c r="D37" s="44">
        <v>0.685</v>
      </c>
      <c r="E37" s="12">
        <f t="shared" si="7"/>
        <v>0.685</v>
      </c>
      <c r="F37" s="12" t="s">
        <v>11</v>
      </c>
      <c r="G37" s="5">
        <f t="shared" si="8"/>
        <v>0.685</v>
      </c>
      <c r="H37" s="25">
        <v>0</v>
      </c>
      <c r="I37" s="5">
        <f t="shared" si="9"/>
        <v>0.685</v>
      </c>
      <c r="J37" s="5">
        <f t="shared" si="10"/>
        <v>0</v>
      </c>
      <c r="K37" s="5">
        <f t="shared" si="11"/>
        <v>0</v>
      </c>
      <c r="L37" s="17" t="s">
        <v>21</v>
      </c>
      <c r="M37" s="16"/>
      <c r="N37" s="12">
        <v>20</v>
      </c>
      <c r="O37" s="12" t="s">
        <v>139</v>
      </c>
      <c r="P37" s="15">
        <v>2.5</v>
      </c>
      <c r="Q37" s="63">
        <f>0.03+0.016</f>
        <v>0.046</v>
      </c>
      <c r="R37" s="44">
        <f t="shared" si="2"/>
        <v>0.7310000000000001</v>
      </c>
      <c r="S37" s="12">
        <f t="shared" si="12"/>
        <v>0.7310000000000001</v>
      </c>
      <c r="T37" s="12" t="s">
        <v>11</v>
      </c>
      <c r="U37" s="5">
        <f t="shared" si="13"/>
        <v>0.7310000000000001</v>
      </c>
      <c r="V37" s="25">
        <v>0</v>
      </c>
      <c r="W37" s="5">
        <f t="shared" si="14"/>
        <v>0.7310000000000001</v>
      </c>
      <c r="X37" s="5">
        <f t="shared" si="15"/>
        <v>0</v>
      </c>
      <c r="Y37" s="5">
        <f t="shared" si="16"/>
        <v>0</v>
      </c>
      <c r="Z37" s="12" t="s">
        <v>21</v>
      </c>
    </row>
    <row r="38" spans="1:26" s="1" customFormat="1" ht="22.5">
      <c r="A38" s="18">
        <v>21</v>
      </c>
      <c r="B38" s="12" t="s">
        <v>143</v>
      </c>
      <c r="C38" s="54">
        <v>1</v>
      </c>
      <c r="D38" s="44">
        <v>0.085</v>
      </c>
      <c r="E38" s="12">
        <f t="shared" si="7"/>
        <v>0.085</v>
      </c>
      <c r="F38" s="12" t="s">
        <v>11</v>
      </c>
      <c r="G38" s="5">
        <f t="shared" si="8"/>
        <v>0.085</v>
      </c>
      <c r="H38" s="25">
        <v>0</v>
      </c>
      <c r="I38" s="5">
        <f t="shared" si="9"/>
        <v>0.085</v>
      </c>
      <c r="J38" s="5">
        <f t="shared" si="10"/>
        <v>0</v>
      </c>
      <c r="K38" s="5">
        <f t="shared" si="11"/>
        <v>0</v>
      </c>
      <c r="L38" s="17" t="s">
        <v>21</v>
      </c>
      <c r="M38" s="16"/>
      <c r="N38" s="12">
        <v>21</v>
      </c>
      <c r="O38" s="12" t="s">
        <v>143</v>
      </c>
      <c r="P38" s="15">
        <v>1</v>
      </c>
      <c r="Q38" s="63">
        <v>0</v>
      </c>
      <c r="R38" s="44">
        <f t="shared" si="2"/>
        <v>0.085</v>
      </c>
      <c r="S38" s="12">
        <f t="shared" si="12"/>
        <v>0.085</v>
      </c>
      <c r="T38" s="12" t="s">
        <v>11</v>
      </c>
      <c r="U38" s="5">
        <f t="shared" si="13"/>
        <v>0.085</v>
      </c>
      <c r="V38" s="25">
        <v>0</v>
      </c>
      <c r="W38" s="5">
        <f t="shared" si="14"/>
        <v>0.085</v>
      </c>
      <c r="X38" s="5">
        <f t="shared" si="15"/>
        <v>0</v>
      </c>
      <c r="Y38" s="5">
        <f t="shared" si="16"/>
        <v>0</v>
      </c>
      <c r="Z38" s="12" t="s">
        <v>21</v>
      </c>
    </row>
    <row r="39" spans="1:26" s="1" customFormat="1" ht="24.75" customHeight="1">
      <c r="A39" s="18">
        <v>22</v>
      </c>
      <c r="B39" s="12" t="s">
        <v>144</v>
      </c>
      <c r="C39" s="54">
        <v>4</v>
      </c>
      <c r="D39" s="44">
        <v>0.667</v>
      </c>
      <c r="E39" s="12">
        <f t="shared" si="7"/>
        <v>0.667</v>
      </c>
      <c r="F39" s="12" t="s">
        <v>11</v>
      </c>
      <c r="G39" s="5">
        <f t="shared" si="8"/>
        <v>0.667</v>
      </c>
      <c r="H39" s="25">
        <v>0</v>
      </c>
      <c r="I39" s="5">
        <f t="shared" si="9"/>
        <v>0.667</v>
      </c>
      <c r="J39" s="5">
        <f t="shared" si="10"/>
        <v>0</v>
      </c>
      <c r="K39" s="5">
        <f t="shared" si="11"/>
        <v>0</v>
      </c>
      <c r="L39" s="17" t="s">
        <v>21</v>
      </c>
      <c r="M39" s="16"/>
      <c r="N39" s="12">
        <v>22</v>
      </c>
      <c r="O39" s="12" t="s">
        <v>144</v>
      </c>
      <c r="P39" s="15">
        <v>4</v>
      </c>
      <c r="Q39" s="63">
        <f>0.1+0.01+0.007-0.0032</f>
        <v>0.11380000000000001</v>
      </c>
      <c r="R39" s="44">
        <f t="shared" si="2"/>
        <v>0.7808</v>
      </c>
      <c r="S39" s="12">
        <f t="shared" si="12"/>
        <v>0.7808</v>
      </c>
      <c r="T39" s="12" t="s">
        <v>11</v>
      </c>
      <c r="U39" s="5">
        <f t="shared" si="13"/>
        <v>0.7808</v>
      </c>
      <c r="V39" s="25">
        <v>0</v>
      </c>
      <c r="W39" s="5">
        <f t="shared" si="14"/>
        <v>0.7808</v>
      </c>
      <c r="X39" s="5">
        <f t="shared" si="15"/>
        <v>0</v>
      </c>
      <c r="Y39" s="5">
        <f t="shared" si="16"/>
        <v>0</v>
      </c>
      <c r="Z39" s="12" t="s">
        <v>21</v>
      </c>
    </row>
    <row r="40" spans="1:26" s="1" customFormat="1" ht="22.5">
      <c r="A40" s="18">
        <v>23</v>
      </c>
      <c r="B40" s="12" t="s">
        <v>204</v>
      </c>
      <c r="C40" s="54">
        <v>2.5</v>
      </c>
      <c r="D40" s="44">
        <v>0.624</v>
      </c>
      <c r="E40" s="12">
        <f t="shared" si="7"/>
        <v>0.624</v>
      </c>
      <c r="F40" s="12" t="s">
        <v>11</v>
      </c>
      <c r="G40" s="5">
        <f t="shared" si="8"/>
        <v>0.624</v>
      </c>
      <c r="H40" s="25">
        <v>0</v>
      </c>
      <c r="I40" s="5">
        <f t="shared" si="9"/>
        <v>0.624</v>
      </c>
      <c r="J40" s="5">
        <f t="shared" si="10"/>
        <v>0</v>
      </c>
      <c r="K40" s="5">
        <f t="shared" si="11"/>
        <v>0</v>
      </c>
      <c r="L40" s="17" t="s">
        <v>21</v>
      </c>
      <c r="M40" s="16"/>
      <c r="N40" s="12">
        <v>23</v>
      </c>
      <c r="O40" s="12" t="s">
        <v>204</v>
      </c>
      <c r="P40" s="15">
        <v>2.5</v>
      </c>
      <c r="Q40" s="63">
        <f>0.005+0.003+0.005+0.0156</f>
        <v>0.0286</v>
      </c>
      <c r="R40" s="44">
        <f t="shared" si="2"/>
        <v>0.6526</v>
      </c>
      <c r="S40" s="12">
        <f t="shared" si="12"/>
        <v>0.6526</v>
      </c>
      <c r="T40" s="12" t="s">
        <v>11</v>
      </c>
      <c r="U40" s="5">
        <f t="shared" si="13"/>
        <v>0.6526</v>
      </c>
      <c r="V40" s="25">
        <v>0</v>
      </c>
      <c r="W40" s="5">
        <f t="shared" si="14"/>
        <v>0.6526</v>
      </c>
      <c r="X40" s="5">
        <f t="shared" si="15"/>
        <v>0</v>
      </c>
      <c r="Y40" s="5">
        <f t="shared" si="16"/>
        <v>0</v>
      </c>
      <c r="Z40" s="12" t="s">
        <v>21</v>
      </c>
    </row>
    <row r="41" spans="1:26" s="1" customFormat="1" ht="22.5">
      <c r="A41" s="18">
        <v>24</v>
      </c>
      <c r="B41" s="12" t="s">
        <v>188</v>
      </c>
      <c r="C41" s="54">
        <v>1</v>
      </c>
      <c r="D41" s="44">
        <v>0.179</v>
      </c>
      <c r="E41" s="12">
        <f t="shared" si="7"/>
        <v>0.179</v>
      </c>
      <c r="F41" s="12" t="s">
        <v>11</v>
      </c>
      <c r="G41" s="5">
        <f t="shared" si="8"/>
        <v>0.179</v>
      </c>
      <c r="H41" s="25">
        <v>0</v>
      </c>
      <c r="I41" s="5">
        <f t="shared" si="9"/>
        <v>0.179</v>
      </c>
      <c r="J41" s="5">
        <f t="shared" si="10"/>
        <v>0</v>
      </c>
      <c r="K41" s="5">
        <f t="shared" si="11"/>
        <v>0</v>
      </c>
      <c r="L41" s="17" t="s">
        <v>21</v>
      </c>
      <c r="M41" s="16"/>
      <c r="N41" s="12">
        <v>24</v>
      </c>
      <c r="O41" s="12" t="s">
        <v>188</v>
      </c>
      <c r="P41" s="15">
        <v>1</v>
      </c>
      <c r="Q41" s="63">
        <v>0</v>
      </c>
      <c r="R41" s="44">
        <f t="shared" si="2"/>
        <v>0.179</v>
      </c>
      <c r="S41" s="12">
        <f t="shared" si="12"/>
        <v>0.179</v>
      </c>
      <c r="T41" s="12" t="s">
        <v>11</v>
      </c>
      <c r="U41" s="5">
        <f t="shared" si="13"/>
        <v>0.179</v>
      </c>
      <c r="V41" s="25">
        <v>0</v>
      </c>
      <c r="W41" s="5">
        <f t="shared" si="14"/>
        <v>0.179</v>
      </c>
      <c r="X41" s="5">
        <f t="shared" si="15"/>
        <v>0</v>
      </c>
      <c r="Y41" s="5">
        <f t="shared" si="16"/>
        <v>0</v>
      </c>
      <c r="Z41" s="12" t="s">
        <v>21</v>
      </c>
    </row>
    <row r="42" spans="1:26" s="1" customFormat="1" ht="22.5">
      <c r="A42" s="18">
        <v>25</v>
      </c>
      <c r="B42" s="12" t="s">
        <v>190</v>
      </c>
      <c r="C42" s="54">
        <v>2.5</v>
      </c>
      <c r="D42" s="44">
        <v>0.434</v>
      </c>
      <c r="E42" s="12">
        <f t="shared" si="7"/>
        <v>0.434</v>
      </c>
      <c r="F42" s="12" t="s">
        <v>11</v>
      </c>
      <c r="G42" s="5">
        <f t="shared" si="8"/>
        <v>0.434</v>
      </c>
      <c r="H42" s="25">
        <v>0</v>
      </c>
      <c r="I42" s="5">
        <f t="shared" si="9"/>
        <v>0.434</v>
      </c>
      <c r="J42" s="5">
        <f t="shared" si="10"/>
        <v>0</v>
      </c>
      <c r="K42" s="5">
        <f t="shared" si="11"/>
        <v>0</v>
      </c>
      <c r="L42" s="17" t="s">
        <v>21</v>
      </c>
      <c r="M42" s="16"/>
      <c r="N42" s="12">
        <v>25</v>
      </c>
      <c r="O42" s="12" t="s">
        <v>190</v>
      </c>
      <c r="P42" s="15">
        <v>2.5</v>
      </c>
      <c r="Q42" s="63">
        <f>0.003+0.005+0.003+0.003-0.0086</f>
        <v>0.0053999999999999986</v>
      </c>
      <c r="R42" s="44">
        <f t="shared" si="2"/>
        <v>0.4394</v>
      </c>
      <c r="S42" s="12">
        <f t="shared" si="12"/>
        <v>0.4394</v>
      </c>
      <c r="T42" s="12" t="s">
        <v>11</v>
      </c>
      <c r="U42" s="5">
        <f t="shared" si="13"/>
        <v>0.4394</v>
      </c>
      <c r="V42" s="25">
        <v>0</v>
      </c>
      <c r="W42" s="5">
        <f t="shared" si="14"/>
        <v>0.4394</v>
      </c>
      <c r="X42" s="5">
        <f t="shared" si="15"/>
        <v>0</v>
      </c>
      <c r="Y42" s="5">
        <f t="shared" si="16"/>
        <v>0</v>
      </c>
      <c r="Z42" s="12" t="s">
        <v>21</v>
      </c>
    </row>
    <row r="43" spans="1:26" s="1" customFormat="1" ht="22.5">
      <c r="A43" s="18">
        <v>26</v>
      </c>
      <c r="B43" s="12" t="s">
        <v>192</v>
      </c>
      <c r="C43" s="54">
        <v>1.6</v>
      </c>
      <c r="D43" s="44">
        <v>0.651</v>
      </c>
      <c r="E43" s="12">
        <f t="shared" si="7"/>
        <v>0.651</v>
      </c>
      <c r="F43" s="12" t="s">
        <v>11</v>
      </c>
      <c r="G43" s="5">
        <f t="shared" si="8"/>
        <v>0.651</v>
      </c>
      <c r="H43" s="25">
        <v>0</v>
      </c>
      <c r="I43" s="5">
        <f t="shared" si="9"/>
        <v>0.651</v>
      </c>
      <c r="J43" s="5">
        <f t="shared" si="10"/>
        <v>0</v>
      </c>
      <c r="K43" s="5">
        <f t="shared" si="11"/>
        <v>0</v>
      </c>
      <c r="L43" s="17" t="s">
        <v>21</v>
      </c>
      <c r="M43" s="16"/>
      <c r="N43" s="12">
        <v>26</v>
      </c>
      <c r="O43" s="12" t="s">
        <v>192</v>
      </c>
      <c r="P43" s="15">
        <v>1.6</v>
      </c>
      <c r="Q43" s="63">
        <f>0.022+0.01+0.024+0.016+0.0054</f>
        <v>0.07740000000000001</v>
      </c>
      <c r="R43" s="44">
        <f t="shared" si="2"/>
        <v>0.7284</v>
      </c>
      <c r="S43" s="12">
        <f t="shared" si="12"/>
        <v>0.7284</v>
      </c>
      <c r="T43" s="12" t="s">
        <v>11</v>
      </c>
      <c r="U43" s="5">
        <f t="shared" si="13"/>
        <v>0.7284</v>
      </c>
      <c r="V43" s="25">
        <v>0</v>
      </c>
      <c r="W43" s="5">
        <f t="shared" si="14"/>
        <v>0.7284</v>
      </c>
      <c r="X43" s="5">
        <f t="shared" si="15"/>
        <v>0</v>
      </c>
      <c r="Y43" s="5">
        <f t="shared" si="16"/>
        <v>0</v>
      </c>
      <c r="Z43" s="12" t="s">
        <v>21</v>
      </c>
    </row>
    <row r="44" spans="1:26" s="1" customFormat="1" ht="22.5">
      <c r="A44" s="18">
        <v>27</v>
      </c>
      <c r="B44" s="12" t="s">
        <v>199</v>
      </c>
      <c r="C44" s="54">
        <v>1.6</v>
      </c>
      <c r="D44" s="44">
        <v>0.155</v>
      </c>
      <c r="E44" s="12">
        <f t="shared" si="7"/>
        <v>0.155</v>
      </c>
      <c r="F44" s="12" t="s">
        <v>11</v>
      </c>
      <c r="G44" s="5">
        <f t="shared" si="8"/>
        <v>0.155</v>
      </c>
      <c r="H44" s="25">
        <v>0</v>
      </c>
      <c r="I44" s="5">
        <f t="shared" si="9"/>
        <v>0.155</v>
      </c>
      <c r="J44" s="5">
        <f t="shared" si="10"/>
        <v>0</v>
      </c>
      <c r="K44" s="5">
        <f t="shared" si="11"/>
        <v>0</v>
      </c>
      <c r="L44" s="17" t="s">
        <v>21</v>
      </c>
      <c r="M44" s="16"/>
      <c r="N44" s="12">
        <v>27</v>
      </c>
      <c r="O44" s="12" t="s">
        <v>199</v>
      </c>
      <c r="P44" s="15">
        <v>1.6</v>
      </c>
      <c r="Q44" s="63">
        <f>0.005+0.005+0.007+0.005+0.0054+0.0048+0.0032</f>
        <v>0.0354</v>
      </c>
      <c r="R44" s="44">
        <f t="shared" si="2"/>
        <v>0.1904</v>
      </c>
      <c r="S44" s="12">
        <f t="shared" si="12"/>
        <v>0.1904</v>
      </c>
      <c r="T44" s="12" t="s">
        <v>11</v>
      </c>
      <c r="U44" s="5">
        <f t="shared" si="13"/>
        <v>0.1904</v>
      </c>
      <c r="V44" s="25">
        <v>0</v>
      </c>
      <c r="W44" s="5">
        <f t="shared" si="14"/>
        <v>0.1904</v>
      </c>
      <c r="X44" s="5">
        <f t="shared" si="15"/>
        <v>0</v>
      </c>
      <c r="Y44" s="5">
        <f t="shared" si="16"/>
        <v>0</v>
      </c>
      <c r="Z44" s="12" t="s">
        <v>21</v>
      </c>
    </row>
    <row r="45" spans="1:26" s="1" customFormat="1" ht="22.5">
      <c r="A45" s="18">
        <v>28</v>
      </c>
      <c r="B45" s="12" t="s">
        <v>200</v>
      </c>
      <c r="C45" s="54">
        <v>1.6</v>
      </c>
      <c r="D45" s="44">
        <v>0.049</v>
      </c>
      <c r="E45" s="12">
        <f t="shared" si="7"/>
        <v>0.049</v>
      </c>
      <c r="F45" s="12" t="s">
        <v>11</v>
      </c>
      <c r="G45" s="5">
        <f t="shared" si="8"/>
        <v>0.049</v>
      </c>
      <c r="H45" s="25">
        <v>0</v>
      </c>
      <c r="I45" s="5">
        <f t="shared" si="9"/>
        <v>0.049</v>
      </c>
      <c r="J45" s="5">
        <f t="shared" si="10"/>
        <v>0</v>
      </c>
      <c r="K45" s="5">
        <f t="shared" si="11"/>
        <v>0</v>
      </c>
      <c r="L45" s="17" t="s">
        <v>21</v>
      </c>
      <c r="M45" s="16"/>
      <c r="N45" s="12">
        <v>28</v>
      </c>
      <c r="O45" s="12" t="s">
        <v>200</v>
      </c>
      <c r="P45" s="15">
        <v>1.6</v>
      </c>
      <c r="Q45" s="63">
        <v>0</v>
      </c>
      <c r="R45" s="44">
        <f t="shared" si="2"/>
        <v>0.049</v>
      </c>
      <c r="S45" s="12">
        <f t="shared" si="12"/>
        <v>0.049</v>
      </c>
      <c r="T45" s="12" t="s">
        <v>11</v>
      </c>
      <c r="U45" s="5">
        <f t="shared" si="13"/>
        <v>0.049</v>
      </c>
      <c r="V45" s="25">
        <v>0</v>
      </c>
      <c r="W45" s="5">
        <f t="shared" si="14"/>
        <v>0.049</v>
      </c>
      <c r="X45" s="5">
        <f t="shared" si="15"/>
        <v>0</v>
      </c>
      <c r="Y45" s="5">
        <f t="shared" si="16"/>
        <v>0</v>
      </c>
      <c r="Z45" s="12" t="s">
        <v>21</v>
      </c>
    </row>
    <row r="46" spans="1:26" s="1" customFormat="1" ht="22.5">
      <c r="A46" s="18">
        <v>29</v>
      </c>
      <c r="B46" s="12" t="s">
        <v>203</v>
      </c>
      <c r="C46" s="54">
        <v>2.5</v>
      </c>
      <c r="D46" s="44">
        <v>0.58</v>
      </c>
      <c r="E46" s="12">
        <f t="shared" si="7"/>
        <v>0.58</v>
      </c>
      <c r="F46" s="12" t="s">
        <v>11</v>
      </c>
      <c r="G46" s="5">
        <f t="shared" si="8"/>
        <v>0.58</v>
      </c>
      <c r="H46" s="25">
        <v>0</v>
      </c>
      <c r="I46" s="5">
        <f t="shared" si="9"/>
        <v>0.58</v>
      </c>
      <c r="J46" s="5">
        <f t="shared" si="10"/>
        <v>0</v>
      </c>
      <c r="K46" s="5">
        <f t="shared" si="11"/>
        <v>0</v>
      </c>
      <c r="L46" s="17" t="s">
        <v>21</v>
      </c>
      <c r="M46" s="16"/>
      <c r="N46" s="12">
        <v>29</v>
      </c>
      <c r="O46" s="12" t="s">
        <v>203</v>
      </c>
      <c r="P46" s="15">
        <v>2.5</v>
      </c>
      <c r="Q46" s="63">
        <f>0.025+0.009+0.016+0.065+0.0043-0.1011+0.0155</f>
        <v>0.03370000000000001</v>
      </c>
      <c r="R46" s="44">
        <f t="shared" si="2"/>
        <v>0.6136999999999999</v>
      </c>
      <c r="S46" s="12">
        <f t="shared" si="12"/>
        <v>0.6136999999999999</v>
      </c>
      <c r="T46" s="12" t="s">
        <v>11</v>
      </c>
      <c r="U46" s="5">
        <f t="shared" si="13"/>
        <v>0.6136999999999999</v>
      </c>
      <c r="V46" s="25">
        <v>0</v>
      </c>
      <c r="W46" s="5">
        <f t="shared" si="14"/>
        <v>0.6136999999999999</v>
      </c>
      <c r="X46" s="5">
        <f t="shared" si="15"/>
        <v>0</v>
      </c>
      <c r="Y46" s="5">
        <f t="shared" si="16"/>
        <v>0</v>
      </c>
      <c r="Z46" s="12" t="s">
        <v>21</v>
      </c>
    </row>
    <row r="47" spans="1:26" s="1" customFormat="1" ht="22.5">
      <c r="A47" s="129">
        <v>30</v>
      </c>
      <c r="B47" s="25" t="s">
        <v>61</v>
      </c>
      <c r="C47" s="50" t="s">
        <v>34</v>
      </c>
      <c r="D47" s="45">
        <f>D48+D49</f>
        <v>21.1</v>
      </c>
      <c r="E47" s="25">
        <f>E48+E49</f>
        <v>0</v>
      </c>
      <c r="F47" s="25">
        <v>0</v>
      </c>
      <c r="G47" s="26">
        <f aca="true" t="shared" si="17" ref="G47:G69">D47-E47</f>
        <v>21.1</v>
      </c>
      <c r="H47" s="25">
        <v>0</v>
      </c>
      <c r="I47" s="24">
        <f>1.05*40</f>
        <v>42</v>
      </c>
      <c r="J47" s="5">
        <f>I47-G47-H47</f>
        <v>20.9</v>
      </c>
      <c r="K47" s="86">
        <f>MIN(J47:J49)</f>
        <v>20.9</v>
      </c>
      <c r="L47" s="89" t="s">
        <v>21</v>
      </c>
      <c r="M47" s="16"/>
      <c r="N47" s="89">
        <v>30</v>
      </c>
      <c r="O47" s="25" t="s">
        <v>61</v>
      </c>
      <c r="P47" s="28" t="s">
        <v>34</v>
      </c>
      <c r="Q47" s="62">
        <f>Q49</f>
        <v>0.019</v>
      </c>
      <c r="R47" s="44">
        <f>R48+R49</f>
        <v>21.119</v>
      </c>
      <c r="S47" s="25">
        <f>S48+S49</f>
        <v>0</v>
      </c>
      <c r="T47" s="25">
        <v>0</v>
      </c>
      <c r="U47" s="26">
        <f aca="true" t="shared" si="18" ref="U47:U69">R47-S47</f>
        <v>21.119</v>
      </c>
      <c r="V47" s="25">
        <v>0</v>
      </c>
      <c r="W47" s="24">
        <f>1.05*40</f>
        <v>42</v>
      </c>
      <c r="X47" s="5">
        <f>W47-U47-V47</f>
        <v>20.881</v>
      </c>
      <c r="Y47" s="125">
        <f>MIN(X47:X49)</f>
        <v>20.881</v>
      </c>
      <c r="Z47" s="89" t="s">
        <v>21</v>
      </c>
    </row>
    <row r="48" spans="1:26" s="1" customFormat="1" ht="24" customHeight="1">
      <c r="A48" s="116"/>
      <c r="B48" s="27" t="s">
        <v>54</v>
      </c>
      <c r="C48" s="50" t="s">
        <v>34</v>
      </c>
      <c r="D48" s="45">
        <v>3.5</v>
      </c>
      <c r="E48" s="25">
        <v>0</v>
      </c>
      <c r="F48" s="25">
        <v>0</v>
      </c>
      <c r="G48" s="26">
        <f t="shared" si="17"/>
        <v>3.5</v>
      </c>
      <c r="H48" s="25">
        <v>0</v>
      </c>
      <c r="I48" s="24">
        <f>1.05*40</f>
        <v>42</v>
      </c>
      <c r="J48" s="5">
        <f>I48-D48</f>
        <v>38.5</v>
      </c>
      <c r="K48" s="90"/>
      <c r="L48" s="90"/>
      <c r="M48" s="16"/>
      <c r="N48" s="90"/>
      <c r="O48" s="27" t="s">
        <v>54</v>
      </c>
      <c r="P48" s="28" t="s">
        <v>34</v>
      </c>
      <c r="Q48" s="62"/>
      <c r="R48" s="44">
        <f t="shared" si="2"/>
        <v>3.5</v>
      </c>
      <c r="S48" s="25">
        <v>0</v>
      </c>
      <c r="T48" s="25">
        <v>0</v>
      </c>
      <c r="U48" s="26">
        <f t="shared" si="18"/>
        <v>3.5</v>
      </c>
      <c r="V48" s="25">
        <v>0</v>
      </c>
      <c r="W48" s="24">
        <f>1.05*40</f>
        <v>42</v>
      </c>
      <c r="X48" s="5">
        <f>W48-R48</f>
        <v>38.5</v>
      </c>
      <c r="Y48" s="126"/>
      <c r="Z48" s="96"/>
    </row>
    <row r="49" spans="1:26" s="1" customFormat="1" ht="21.75" customHeight="1">
      <c r="A49" s="117"/>
      <c r="B49" s="27" t="s">
        <v>41</v>
      </c>
      <c r="C49" s="50" t="s">
        <v>34</v>
      </c>
      <c r="D49" s="45">
        <v>17.6</v>
      </c>
      <c r="E49" s="25">
        <v>0</v>
      </c>
      <c r="F49" s="25">
        <v>0</v>
      </c>
      <c r="G49" s="26">
        <f t="shared" si="17"/>
        <v>17.6</v>
      </c>
      <c r="H49" s="25">
        <v>0</v>
      </c>
      <c r="I49" s="24">
        <f>1.05*40</f>
        <v>42</v>
      </c>
      <c r="J49" s="5">
        <f aca="true" t="shared" si="19" ref="J49:J55">I49-G49-H49</f>
        <v>24.4</v>
      </c>
      <c r="K49" s="91"/>
      <c r="L49" s="91"/>
      <c r="M49" s="16"/>
      <c r="N49" s="91"/>
      <c r="O49" s="27" t="s">
        <v>41</v>
      </c>
      <c r="P49" s="28" t="s">
        <v>34</v>
      </c>
      <c r="Q49" s="62">
        <f>0.005+0.009+0.005+0.0048-0.0048</f>
        <v>0.019</v>
      </c>
      <c r="R49" s="44">
        <f t="shared" si="2"/>
        <v>17.619</v>
      </c>
      <c r="S49" s="25">
        <v>0</v>
      </c>
      <c r="T49" s="25">
        <v>0</v>
      </c>
      <c r="U49" s="26">
        <f t="shared" si="18"/>
        <v>17.619</v>
      </c>
      <c r="V49" s="25">
        <v>0</v>
      </c>
      <c r="W49" s="24">
        <f>1.05*40</f>
        <v>42</v>
      </c>
      <c r="X49" s="5">
        <f aca="true" t="shared" si="20" ref="X49:X55">W49-U49-V49</f>
        <v>24.381</v>
      </c>
      <c r="Y49" s="127"/>
      <c r="Z49" s="97"/>
    </row>
    <row r="50" spans="1:26" s="1" customFormat="1" ht="22.5">
      <c r="A50" s="18">
        <v>31</v>
      </c>
      <c r="B50" s="52" t="s">
        <v>62</v>
      </c>
      <c r="C50" s="50" t="s">
        <v>26</v>
      </c>
      <c r="D50" s="45">
        <v>0.736</v>
      </c>
      <c r="E50" s="25">
        <v>0</v>
      </c>
      <c r="F50" s="25">
        <v>0</v>
      </c>
      <c r="G50" s="26">
        <f t="shared" si="17"/>
        <v>0.736</v>
      </c>
      <c r="H50" s="25">
        <v>0</v>
      </c>
      <c r="I50" s="24">
        <f>1.05*6.3</f>
        <v>6.615</v>
      </c>
      <c r="J50" s="6">
        <f t="shared" si="19"/>
        <v>5.8790000000000004</v>
      </c>
      <c r="K50" s="26">
        <f>J50</f>
        <v>5.8790000000000004</v>
      </c>
      <c r="L50" s="17" t="s">
        <v>21</v>
      </c>
      <c r="M50" s="16"/>
      <c r="N50" s="12">
        <v>31</v>
      </c>
      <c r="O50" s="25" t="s">
        <v>62</v>
      </c>
      <c r="P50" s="28" t="s">
        <v>26</v>
      </c>
      <c r="Q50" s="62">
        <f>0.003+0.005+0.005+0.0376+0.0097+0.0032</f>
        <v>0.0635</v>
      </c>
      <c r="R50" s="44">
        <f>Q50+D50</f>
        <v>0.7995</v>
      </c>
      <c r="S50" s="25">
        <v>0</v>
      </c>
      <c r="T50" s="25">
        <v>0</v>
      </c>
      <c r="U50" s="26">
        <f t="shared" si="18"/>
        <v>0.7995</v>
      </c>
      <c r="V50" s="25">
        <v>0</v>
      </c>
      <c r="W50" s="24">
        <f>1.05*6.3</f>
        <v>6.615</v>
      </c>
      <c r="X50" s="6">
        <f t="shared" si="20"/>
        <v>5.8155</v>
      </c>
      <c r="Y50" s="26">
        <f>X50</f>
        <v>5.8155</v>
      </c>
      <c r="Z50" s="12" t="s">
        <v>21</v>
      </c>
    </row>
    <row r="51" spans="1:26" s="36" customFormat="1" ht="22.5">
      <c r="A51" s="22">
        <v>32</v>
      </c>
      <c r="B51" s="31" t="s">
        <v>63</v>
      </c>
      <c r="C51" s="32" t="s">
        <v>45</v>
      </c>
      <c r="D51" s="46">
        <v>34.57</v>
      </c>
      <c r="E51" s="31">
        <v>0</v>
      </c>
      <c r="F51" s="31">
        <v>0</v>
      </c>
      <c r="G51" s="29">
        <f t="shared" si="17"/>
        <v>34.57</v>
      </c>
      <c r="H51" s="31">
        <v>0</v>
      </c>
      <c r="I51" s="30">
        <f>1.05*25</f>
        <v>26.25</v>
      </c>
      <c r="J51" s="4">
        <f t="shared" si="19"/>
        <v>-8.32</v>
      </c>
      <c r="K51" s="46">
        <f>J51</f>
        <v>-8.32</v>
      </c>
      <c r="L51" s="19" t="s">
        <v>22</v>
      </c>
      <c r="M51" s="35"/>
      <c r="N51" s="22">
        <v>32</v>
      </c>
      <c r="O51" s="31" t="s">
        <v>63</v>
      </c>
      <c r="P51" s="32" t="s">
        <v>45</v>
      </c>
      <c r="Q51" s="64">
        <f>3.182+0.629</f>
        <v>3.811</v>
      </c>
      <c r="R51" s="48">
        <f t="shared" si="2"/>
        <v>38.381</v>
      </c>
      <c r="S51" s="31">
        <v>0</v>
      </c>
      <c r="T51" s="31">
        <v>0</v>
      </c>
      <c r="U51" s="29">
        <f t="shared" si="18"/>
        <v>38.381</v>
      </c>
      <c r="V51" s="31">
        <v>0</v>
      </c>
      <c r="W51" s="30">
        <f>1.05*25</f>
        <v>26.25</v>
      </c>
      <c r="X51" s="4">
        <f>W51-U51-V51</f>
        <v>-12.131</v>
      </c>
      <c r="Y51" s="46">
        <f>X51</f>
        <v>-12.131</v>
      </c>
      <c r="Z51" s="22" t="s">
        <v>22</v>
      </c>
    </row>
    <row r="52" spans="1:26" s="1" customFormat="1" ht="22.5">
      <c r="A52" s="18">
        <v>33</v>
      </c>
      <c r="B52" s="52" t="s">
        <v>64</v>
      </c>
      <c r="C52" s="50" t="s">
        <v>26</v>
      </c>
      <c r="D52" s="45">
        <v>2.11</v>
      </c>
      <c r="E52" s="25">
        <v>0</v>
      </c>
      <c r="F52" s="25">
        <v>0</v>
      </c>
      <c r="G52" s="26">
        <f t="shared" si="17"/>
        <v>2.11</v>
      </c>
      <c r="H52" s="25">
        <v>0</v>
      </c>
      <c r="I52" s="24">
        <f>1.05*6.3</f>
        <v>6.615</v>
      </c>
      <c r="J52" s="6">
        <f t="shared" si="19"/>
        <v>4.505000000000001</v>
      </c>
      <c r="K52" s="26">
        <f>J52</f>
        <v>4.505000000000001</v>
      </c>
      <c r="L52" s="17" t="s">
        <v>21</v>
      </c>
      <c r="M52" s="16"/>
      <c r="N52" s="12">
        <v>33</v>
      </c>
      <c r="O52" s="25" t="s">
        <v>64</v>
      </c>
      <c r="P52" s="28" t="s">
        <v>26</v>
      </c>
      <c r="Q52" s="62">
        <f>0.811+0.005+0.026+0.016+0.005-0.0349+0.0161+0.0161</f>
        <v>0.8603000000000001</v>
      </c>
      <c r="R52" s="44">
        <f t="shared" si="2"/>
        <v>2.9703</v>
      </c>
      <c r="S52" s="25">
        <v>0</v>
      </c>
      <c r="T52" s="25">
        <v>0</v>
      </c>
      <c r="U52" s="26">
        <f t="shared" si="18"/>
        <v>2.9703</v>
      </c>
      <c r="V52" s="25">
        <v>0</v>
      </c>
      <c r="W52" s="24">
        <f>1.05*6.3</f>
        <v>6.615</v>
      </c>
      <c r="X52" s="6">
        <f t="shared" si="20"/>
        <v>3.6447000000000003</v>
      </c>
      <c r="Y52" s="26">
        <f>X52</f>
        <v>3.6447000000000003</v>
      </c>
      <c r="Z52" s="12" t="s">
        <v>21</v>
      </c>
    </row>
    <row r="53" spans="1:26" s="1" customFormat="1" ht="22.5">
      <c r="A53" s="22">
        <v>34</v>
      </c>
      <c r="B53" s="31" t="s">
        <v>65</v>
      </c>
      <c r="C53" s="32" t="s">
        <v>27</v>
      </c>
      <c r="D53" s="46">
        <v>25.56</v>
      </c>
      <c r="E53" s="31">
        <v>1.5</v>
      </c>
      <c r="F53" s="31" t="s">
        <v>58</v>
      </c>
      <c r="G53" s="29">
        <f t="shared" si="17"/>
        <v>24.06</v>
      </c>
      <c r="H53" s="31">
        <v>0</v>
      </c>
      <c r="I53" s="30">
        <f>1.05*16</f>
        <v>16.8</v>
      </c>
      <c r="J53" s="4">
        <f t="shared" si="19"/>
        <v>-7.259999999999998</v>
      </c>
      <c r="K53" s="46">
        <f>J53</f>
        <v>-7.259999999999998</v>
      </c>
      <c r="L53" s="19" t="s">
        <v>22</v>
      </c>
      <c r="M53" s="35"/>
      <c r="N53" s="22">
        <v>34</v>
      </c>
      <c r="O53" s="31" t="s">
        <v>65</v>
      </c>
      <c r="P53" s="32" t="s">
        <v>27</v>
      </c>
      <c r="Q53" s="64">
        <f>0.806+0.2421</f>
        <v>1.0481</v>
      </c>
      <c r="R53" s="48">
        <f t="shared" si="2"/>
        <v>26.6081</v>
      </c>
      <c r="S53" s="31">
        <v>1.5</v>
      </c>
      <c r="T53" s="31" t="s">
        <v>58</v>
      </c>
      <c r="U53" s="29">
        <f t="shared" si="18"/>
        <v>25.1081</v>
      </c>
      <c r="V53" s="31">
        <v>0</v>
      </c>
      <c r="W53" s="30">
        <f>1.05*16</f>
        <v>16.8</v>
      </c>
      <c r="X53" s="4">
        <f t="shared" si="20"/>
        <v>-8.3081</v>
      </c>
      <c r="Y53" s="46">
        <f>X53</f>
        <v>-8.3081</v>
      </c>
      <c r="Z53" s="22" t="s">
        <v>22</v>
      </c>
    </row>
    <row r="54" spans="1:26" s="73" customFormat="1" ht="22.5">
      <c r="A54" s="31">
        <v>35</v>
      </c>
      <c r="B54" s="31" t="s">
        <v>66</v>
      </c>
      <c r="C54" s="32" t="s">
        <v>42</v>
      </c>
      <c r="D54" s="46">
        <v>4.338</v>
      </c>
      <c r="E54" s="31">
        <v>0</v>
      </c>
      <c r="F54" s="31">
        <v>0</v>
      </c>
      <c r="G54" s="29">
        <f t="shared" si="17"/>
        <v>4.338</v>
      </c>
      <c r="H54" s="31">
        <v>0</v>
      </c>
      <c r="I54" s="30">
        <f>1.05*4</f>
        <v>4.2</v>
      </c>
      <c r="J54" s="4">
        <f t="shared" si="19"/>
        <v>-0.1379999999999999</v>
      </c>
      <c r="K54" s="46">
        <f>J54</f>
        <v>-0.1379999999999999</v>
      </c>
      <c r="L54" s="31" t="s">
        <v>22</v>
      </c>
      <c r="M54" s="71"/>
      <c r="N54" s="31">
        <v>35</v>
      </c>
      <c r="O54" s="31" t="s">
        <v>66</v>
      </c>
      <c r="P54" s="32" t="s">
        <v>42</v>
      </c>
      <c r="Q54" s="64">
        <f>0.412+0.096+0.016+0.03+0.022+0.037+0.046+0.06+0.069+0.062+0.017+0.027+0.4785+0.0581+0.3871-0.4422+0.0097+0.4833+0.0855</f>
        <v>1.9540000000000002</v>
      </c>
      <c r="R54" s="46">
        <f t="shared" si="2"/>
        <v>6.292</v>
      </c>
      <c r="S54" s="31">
        <v>0</v>
      </c>
      <c r="T54" s="31">
        <v>0</v>
      </c>
      <c r="U54" s="29">
        <f t="shared" si="18"/>
        <v>6.292</v>
      </c>
      <c r="V54" s="31">
        <v>0</v>
      </c>
      <c r="W54" s="30">
        <f>1.05*4</f>
        <v>4.2</v>
      </c>
      <c r="X54" s="72">
        <f t="shared" si="20"/>
        <v>-2.0919999999999996</v>
      </c>
      <c r="Y54" s="46">
        <f>X54</f>
        <v>-2.0919999999999996</v>
      </c>
      <c r="Z54" s="31" t="s">
        <v>22</v>
      </c>
    </row>
    <row r="55" spans="1:26" s="73" customFormat="1" ht="26.25" customHeight="1">
      <c r="A55" s="104">
        <v>36</v>
      </c>
      <c r="B55" s="31" t="s">
        <v>67</v>
      </c>
      <c r="C55" s="32" t="s">
        <v>59</v>
      </c>
      <c r="D55" s="46">
        <f>D56+D57</f>
        <v>44.35</v>
      </c>
      <c r="E55" s="31">
        <f>E56+E57</f>
        <v>0</v>
      </c>
      <c r="F55" s="31">
        <v>0</v>
      </c>
      <c r="G55" s="30">
        <f t="shared" si="17"/>
        <v>44.35</v>
      </c>
      <c r="H55" s="31">
        <v>0</v>
      </c>
      <c r="I55" s="30">
        <f>1.05*40</f>
        <v>42</v>
      </c>
      <c r="J55" s="3">
        <f t="shared" si="19"/>
        <v>-2.3500000000000014</v>
      </c>
      <c r="K55" s="98">
        <f>MIN(J55:J57)</f>
        <v>-2.3500000000000014</v>
      </c>
      <c r="L55" s="104" t="s">
        <v>22</v>
      </c>
      <c r="M55" s="71"/>
      <c r="N55" s="104">
        <v>36</v>
      </c>
      <c r="O55" s="31" t="s">
        <v>67</v>
      </c>
      <c r="P55" s="32" t="s">
        <v>59</v>
      </c>
      <c r="Q55" s="64">
        <f>Q56+Q57</f>
        <v>5.0826</v>
      </c>
      <c r="R55" s="46">
        <f>R56+R57</f>
        <v>49.4326</v>
      </c>
      <c r="S55" s="31">
        <f>S56+S57</f>
        <v>0</v>
      </c>
      <c r="T55" s="31">
        <v>0</v>
      </c>
      <c r="U55" s="29">
        <f t="shared" si="18"/>
        <v>49.4326</v>
      </c>
      <c r="V55" s="31">
        <v>0</v>
      </c>
      <c r="W55" s="30">
        <f>1.05*40</f>
        <v>42</v>
      </c>
      <c r="X55" s="3">
        <f t="shared" si="20"/>
        <v>-7.432600000000001</v>
      </c>
      <c r="Y55" s="98">
        <f>MIN(X55:X57)</f>
        <v>-7.432600000000001</v>
      </c>
      <c r="Z55" s="104" t="s">
        <v>22</v>
      </c>
    </row>
    <row r="56" spans="1:26" s="73" customFormat="1" ht="21.75" customHeight="1">
      <c r="A56" s="105"/>
      <c r="B56" s="34" t="s">
        <v>54</v>
      </c>
      <c r="C56" s="32" t="s">
        <v>59</v>
      </c>
      <c r="D56" s="46">
        <v>25.76</v>
      </c>
      <c r="E56" s="31">
        <v>0</v>
      </c>
      <c r="F56" s="31">
        <v>0</v>
      </c>
      <c r="G56" s="30">
        <f t="shared" si="17"/>
        <v>25.76</v>
      </c>
      <c r="H56" s="31">
        <v>0</v>
      </c>
      <c r="I56" s="30">
        <f>1.05*40</f>
        <v>42</v>
      </c>
      <c r="J56" s="3">
        <f>I56-D56</f>
        <v>16.24</v>
      </c>
      <c r="K56" s="107"/>
      <c r="L56" s="132"/>
      <c r="M56" s="71"/>
      <c r="N56" s="105"/>
      <c r="O56" s="34" t="s">
        <v>54</v>
      </c>
      <c r="P56" s="32" t="s">
        <v>59</v>
      </c>
      <c r="Q56" s="64"/>
      <c r="R56" s="46">
        <f t="shared" si="2"/>
        <v>25.76</v>
      </c>
      <c r="S56" s="31">
        <v>0</v>
      </c>
      <c r="T56" s="31">
        <v>0</v>
      </c>
      <c r="U56" s="29">
        <f t="shared" si="18"/>
        <v>25.76</v>
      </c>
      <c r="V56" s="31">
        <v>0</v>
      </c>
      <c r="W56" s="30">
        <f>1.05*40</f>
        <v>42</v>
      </c>
      <c r="X56" s="3">
        <f>W56-R56</f>
        <v>16.24</v>
      </c>
      <c r="Y56" s="99"/>
      <c r="Z56" s="105"/>
    </row>
    <row r="57" spans="1:26" s="73" customFormat="1" ht="24.75" customHeight="1">
      <c r="A57" s="106"/>
      <c r="B57" s="34" t="s">
        <v>41</v>
      </c>
      <c r="C57" s="32" t="s">
        <v>59</v>
      </c>
      <c r="D57" s="46">
        <v>18.59</v>
      </c>
      <c r="E57" s="31">
        <v>0</v>
      </c>
      <c r="F57" s="31">
        <v>0</v>
      </c>
      <c r="G57" s="30">
        <f t="shared" si="17"/>
        <v>18.59</v>
      </c>
      <c r="H57" s="31">
        <v>0</v>
      </c>
      <c r="I57" s="30">
        <f>1.05*40</f>
        <v>42</v>
      </c>
      <c r="J57" s="3">
        <f>I57-G57-H57</f>
        <v>23.41</v>
      </c>
      <c r="K57" s="108"/>
      <c r="L57" s="133"/>
      <c r="M57" s="71"/>
      <c r="N57" s="106"/>
      <c r="O57" s="34" t="s">
        <v>41</v>
      </c>
      <c r="P57" s="32" t="s">
        <v>59</v>
      </c>
      <c r="Q57" s="64">
        <f>3.226+0.267+0.161+0.188-0.7956+0.4301+1.6061</f>
        <v>5.0826</v>
      </c>
      <c r="R57" s="46">
        <f t="shared" si="2"/>
        <v>23.6726</v>
      </c>
      <c r="S57" s="31">
        <v>0</v>
      </c>
      <c r="T57" s="31">
        <v>0</v>
      </c>
      <c r="U57" s="29">
        <f t="shared" si="18"/>
        <v>23.6726</v>
      </c>
      <c r="V57" s="31">
        <v>0</v>
      </c>
      <c r="W57" s="30">
        <f>1.05*40</f>
        <v>42</v>
      </c>
      <c r="X57" s="3">
        <f>W57-U57-V57</f>
        <v>18.3274</v>
      </c>
      <c r="Y57" s="100"/>
      <c r="Z57" s="106"/>
    </row>
    <row r="58" spans="1:26" s="1" customFormat="1" ht="22.5">
      <c r="A58" s="129">
        <v>37</v>
      </c>
      <c r="B58" s="25" t="s">
        <v>68</v>
      </c>
      <c r="C58" s="50" t="s">
        <v>27</v>
      </c>
      <c r="D58" s="45">
        <f>D59+D60</f>
        <v>8.741</v>
      </c>
      <c r="E58" s="25">
        <f>E59+E60</f>
        <v>0</v>
      </c>
      <c r="F58" s="25">
        <v>0</v>
      </c>
      <c r="G58" s="26">
        <f t="shared" si="17"/>
        <v>8.741</v>
      </c>
      <c r="H58" s="25">
        <v>0</v>
      </c>
      <c r="I58" s="24">
        <f>1.05*16</f>
        <v>16.8</v>
      </c>
      <c r="J58" s="5">
        <f>I58-G58-H58</f>
        <v>8.059000000000001</v>
      </c>
      <c r="K58" s="86">
        <f>MIN(J58:J60)</f>
        <v>8.059000000000001</v>
      </c>
      <c r="L58" s="89" t="s">
        <v>21</v>
      </c>
      <c r="M58" s="16"/>
      <c r="N58" s="89">
        <v>37</v>
      </c>
      <c r="O58" s="25" t="s">
        <v>68</v>
      </c>
      <c r="P58" s="28" t="s">
        <v>27</v>
      </c>
      <c r="Q58" s="62">
        <f>Q59+Q60</f>
        <v>0.1001</v>
      </c>
      <c r="R58" s="44">
        <f>R59+R60</f>
        <v>8.8411</v>
      </c>
      <c r="S58" s="25">
        <f>S59+S60</f>
        <v>0</v>
      </c>
      <c r="T58" s="25">
        <v>0</v>
      </c>
      <c r="U58" s="26">
        <f t="shared" si="18"/>
        <v>8.8411</v>
      </c>
      <c r="V58" s="25">
        <v>0</v>
      </c>
      <c r="W58" s="24">
        <f>1.05*16</f>
        <v>16.8</v>
      </c>
      <c r="X58" s="5">
        <f>W58-U58-V58</f>
        <v>7.9589</v>
      </c>
      <c r="Y58" s="86">
        <f>MIN(X58:X60)</f>
        <v>7.9589</v>
      </c>
      <c r="Z58" s="89" t="s">
        <v>21</v>
      </c>
    </row>
    <row r="59" spans="1:26" s="1" customFormat="1" ht="24.75" customHeight="1">
      <c r="A59" s="130"/>
      <c r="B59" s="27" t="s">
        <v>54</v>
      </c>
      <c r="C59" s="50" t="s">
        <v>27</v>
      </c>
      <c r="D59" s="45">
        <f>2.035+3.204</f>
        <v>5.239000000000001</v>
      </c>
      <c r="E59" s="25">
        <v>0</v>
      </c>
      <c r="F59" s="25">
        <v>0</v>
      </c>
      <c r="G59" s="26">
        <f t="shared" si="17"/>
        <v>5.239000000000001</v>
      </c>
      <c r="H59" s="25">
        <v>0</v>
      </c>
      <c r="I59" s="24">
        <f>1.05*16</f>
        <v>16.8</v>
      </c>
      <c r="J59" s="5">
        <f>I59-D59</f>
        <v>11.561</v>
      </c>
      <c r="K59" s="90"/>
      <c r="L59" s="90"/>
      <c r="M59" s="16"/>
      <c r="N59" s="96"/>
      <c r="O59" s="27" t="s">
        <v>54</v>
      </c>
      <c r="P59" s="28" t="s">
        <v>27</v>
      </c>
      <c r="Q59" s="62"/>
      <c r="R59" s="44">
        <f t="shared" si="2"/>
        <v>5.239000000000001</v>
      </c>
      <c r="S59" s="25">
        <v>0</v>
      </c>
      <c r="T59" s="25">
        <v>0</v>
      </c>
      <c r="U59" s="26">
        <f t="shared" si="18"/>
        <v>5.239000000000001</v>
      </c>
      <c r="V59" s="25">
        <v>0</v>
      </c>
      <c r="W59" s="24">
        <f>1.05*16</f>
        <v>16.8</v>
      </c>
      <c r="X59" s="5">
        <f>W59-R59</f>
        <v>11.561</v>
      </c>
      <c r="Y59" s="87"/>
      <c r="Z59" s="96"/>
    </row>
    <row r="60" spans="1:26" s="1" customFormat="1" ht="22.5" customHeight="1">
      <c r="A60" s="131"/>
      <c r="B60" s="27" t="s">
        <v>41</v>
      </c>
      <c r="C60" s="50" t="s">
        <v>27</v>
      </c>
      <c r="D60" s="45">
        <f>1.77+1.732</f>
        <v>3.502</v>
      </c>
      <c r="E60" s="25">
        <v>0</v>
      </c>
      <c r="F60" s="25">
        <v>0</v>
      </c>
      <c r="G60" s="26">
        <f t="shared" si="17"/>
        <v>3.502</v>
      </c>
      <c r="H60" s="25">
        <v>0</v>
      </c>
      <c r="I60" s="24">
        <f>1.05*16</f>
        <v>16.8</v>
      </c>
      <c r="J60" s="5">
        <f>I60-G60-H60</f>
        <v>13.298000000000002</v>
      </c>
      <c r="K60" s="91"/>
      <c r="L60" s="91"/>
      <c r="M60" s="16"/>
      <c r="N60" s="97"/>
      <c r="O60" s="27" t="s">
        <v>41</v>
      </c>
      <c r="P60" s="28" t="s">
        <v>27</v>
      </c>
      <c r="Q60" s="62">
        <f>0.04+0.01+0.005+0.003+0.004+0.0199+0.0102+0.0075-0.0446+0.0102+0.0349</f>
        <v>0.1001</v>
      </c>
      <c r="R60" s="44">
        <f t="shared" si="2"/>
        <v>3.6020999999999996</v>
      </c>
      <c r="S60" s="25">
        <v>0</v>
      </c>
      <c r="T60" s="25">
        <v>0</v>
      </c>
      <c r="U60" s="26">
        <f t="shared" si="18"/>
        <v>3.6020999999999996</v>
      </c>
      <c r="V60" s="25">
        <v>0</v>
      </c>
      <c r="W60" s="24">
        <f>1.05*16</f>
        <v>16.8</v>
      </c>
      <c r="X60" s="5">
        <f>W60-U60-V60</f>
        <v>13.1979</v>
      </c>
      <c r="Y60" s="88"/>
      <c r="Z60" s="97"/>
    </row>
    <row r="61" spans="1:26" s="1" customFormat="1" ht="22.5">
      <c r="A61" s="101">
        <v>38</v>
      </c>
      <c r="B61" s="31" t="s">
        <v>69</v>
      </c>
      <c r="C61" s="32" t="s">
        <v>28</v>
      </c>
      <c r="D61" s="46">
        <f>D62+D63</f>
        <v>37.17</v>
      </c>
      <c r="E61" s="31">
        <f>E62+E63</f>
        <v>7.92</v>
      </c>
      <c r="F61" s="31" t="s">
        <v>58</v>
      </c>
      <c r="G61" s="29">
        <f t="shared" si="17"/>
        <v>29.25</v>
      </c>
      <c r="H61" s="31">
        <v>0</v>
      </c>
      <c r="I61" s="30">
        <f>1.05*25</f>
        <v>26.25</v>
      </c>
      <c r="J61" s="4">
        <f>I61-G61-H61</f>
        <v>-3</v>
      </c>
      <c r="K61" s="98">
        <f>MIN(J61:J63)</f>
        <v>-3</v>
      </c>
      <c r="L61" s="101" t="s">
        <v>22</v>
      </c>
      <c r="M61" s="16"/>
      <c r="N61" s="101">
        <v>38</v>
      </c>
      <c r="O61" s="31" t="s">
        <v>69</v>
      </c>
      <c r="P61" s="32" t="s">
        <v>28</v>
      </c>
      <c r="Q61" s="64">
        <f>Q62+Q63</f>
        <v>0.6199</v>
      </c>
      <c r="R61" s="48">
        <f>R62+R63</f>
        <v>37.7899</v>
      </c>
      <c r="S61" s="31">
        <f>S62+S63</f>
        <v>8.9</v>
      </c>
      <c r="T61" s="31" t="s">
        <v>58</v>
      </c>
      <c r="U61" s="29">
        <f t="shared" si="18"/>
        <v>28.889900000000004</v>
      </c>
      <c r="V61" s="31">
        <v>0</v>
      </c>
      <c r="W61" s="30">
        <f>1.05*25</f>
        <v>26.25</v>
      </c>
      <c r="X61" s="3">
        <f>W61-U61-V61</f>
        <v>-2.6399000000000044</v>
      </c>
      <c r="Y61" s="98">
        <f>MIN(X61:X63)</f>
        <v>-3.6199000000000012</v>
      </c>
      <c r="Z61" s="101" t="s">
        <v>22</v>
      </c>
    </row>
    <row r="62" spans="1:26" s="1" customFormat="1" ht="21.75" customHeight="1">
      <c r="A62" s="102"/>
      <c r="B62" s="34" t="s">
        <v>54</v>
      </c>
      <c r="C62" s="32" t="s">
        <v>28</v>
      </c>
      <c r="D62" s="46">
        <v>7.92</v>
      </c>
      <c r="E62" s="46">
        <f>D62</f>
        <v>7.92</v>
      </c>
      <c r="F62" s="31" t="s">
        <v>58</v>
      </c>
      <c r="G62" s="30">
        <f t="shared" si="17"/>
        <v>0</v>
      </c>
      <c r="H62" s="31">
        <v>0</v>
      </c>
      <c r="I62" s="30">
        <f>1.05*25</f>
        <v>26.25</v>
      </c>
      <c r="J62" s="3">
        <f>I62-D62</f>
        <v>18.33</v>
      </c>
      <c r="K62" s="137"/>
      <c r="L62" s="139"/>
      <c r="M62" s="16"/>
      <c r="N62" s="102"/>
      <c r="O62" s="34" t="s">
        <v>54</v>
      </c>
      <c r="P62" s="32" t="s">
        <v>28</v>
      </c>
      <c r="Q62" s="64"/>
      <c r="R62" s="48">
        <f>D62+Q62</f>
        <v>7.92</v>
      </c>
      <c r="S62" s="31">
        <v>8.9</v>
      </c>
      <c r="T62" s="31" t="s">
        <v>58</v>
      </c>
      <c r="U62" s="29">
        <f t="shared" si="18"/>
        <v>-0.9800000000000004</v>
      </c>
      <c r="V62" s="31">
        <v>0</v>
      </c>
      <c r="W62" s="30">
        <f>1.05*25</f>
        <v>26.25</v>
      </c>
      <c r="X62" s="3">
        <f>W62-R62</f>
        <v>18.33</v>
      </c>
      <c r="Y62" s="99"/>
      <c r="Z62" s="102"/>
    </row>
    <row r="63" spans="1:26" s="1" customFormat="1" ht="25.5" customHeight="1">
      <c r="A63" s="103"/>
      <c r="B63" s="34" t="s">
        <v>41</v>
      </c>
      <c r="C63" s="32" t="s">
        <v>28</v>
      </c>
      <c r="D63" s="46">
        <v>29.25</v>
      </c>
      <c r="E63" s="31">
        <v>0</v>
      </c>
      <c r="F63" s="31">
        <v>0</v>
      </c>
      <c r="G63" s="30">
        <f t="shared" si="17"/>
        <v>29.25</v>
      </c>
      <c r="H63" s="31">
        <v>0</v>
      </c>
      <c r="I63" s="30">
        <f>1.05*25</f>
        <v>26.25</v>
      </c>
      <c r="J63" s="3">
        <f>I63-G63-H63</f>
        <v>-3</v>
      </c>
      <c r="K63" s="138"/>
      <c r="L63" s="140"/>
      <c r="M63" s="16"/>
      <c r="N63" s="103"/>
      <c r="O63" s="34" t="s">
        <v>41</v>
      </c>
      <c r="P63" s="32" t="s">
        <v>28</v>
      </c>
      <c r="Q63" s="64">
        <f>0.012+0.017+0.0054-0.0215+0.607</f>
        <v>0.6199</v>
      </c>
      <c r="R63" s="48">
        <f>D63+Q63</f>
        <v>29.8699</v>
      </c>
      <c r="S63" s="31">
        <v>0</v>
      </c>
      <c r="T63" s="31">
        <v>0</v>
      </c>
      <c r="U63" s="29">
        <f t="shared" si="18"/>
        <v>29.8699</v>
      </c>
      <c r="V63" s="31">
        <v>0</v>
      </c>
      <c r="W63" s="30">
        <f>1.05*25</f>
        <v>26.25</v>
      </c>
      <c r="X63" s="3">
        <f>W63-U63-V63</f>
        <v>-3.6199000000000012</v>
      </c>
      <c r="Y63" s="100"/>
      <c r="Z63" s="103"/>
    </row>
    <row r="64" spans="1:26" s="1" customFormat="1" ht="22.5">
      <c r="A64" s="129">
        <v>39</v>
      </c>
      <c r="B64" s="25" t="s">
        <v>70</v>
      </c>
      <c r="C64" s="50" t="s">
        <v>46</v>
      </c>
      <c r="D64" s="45">
        <f>D65+D66</f>
        <v>12.760000000000002</v>
      </c>
      <c r="E64" s="25">
        <f>E65+E66</f>
        <v>5.2</v>
      </c>
      <c r="F64" s="25" t="str">
        <f>F65</f>
        <v>6 час</v>
      </c>
      <c r="G64" s="26">
        <f t="shared" si="17"/>
        <v>7.560000000000001</v>
      </c>
      <c r="H64" s="25">
        <v>0</v>
      </c>
      <c r="I64" s="24">
        <f>1.05*16</f>
        <v>16.8</v>
      </c>
      <c r="J64" s="5">
        <f>I64-G64-H64</f>
        <v>9.239999999999998</v>
      </c>
      <c r="K64" s="86">
        <f>MIN(J64:J66)</f>
        <v>9.239999999999998</v>
      </c>
      <c r="L64" s="89" t="s">
        <v>21</v>
      </c>
      <c r="M64" s="16"/>
      <c r="N64" s="89">
        <v>39</v>
      </c>
      <c r="O64" s="25" t="s">
        <v>70</v>
      </c>
      <c r="P64" s="28" t="s">
        <v>46</v>
      </c>
      <c r="Q64" s="62">
        <f>Q65+Q66</f>
        <v>0.17910000000000004</v>
      </c>
      <c r="R64" s="44">
        <f>R65+R66</f>
        <v>12.9391</v>
      </c>
      <c r="S64" s="25">
        <f>S65+S66</f>
        <v>5.2</v>
      </c>
      <c r="T64" s="25" t="str">
        <f>T65</f>
        <v>6 час</v>
      </c>
      <c r="U64" s="26">
        <f t="shared" si="18"/>
        <v>7.7391</v>
      </c>
      <c r="V64" s="25">
        <v>0</v>
      </c>
      <c r="W64" s="24">
        <f>1.05*16</f>
        <v>16.8</v>
      </c>
      <c r="X64" s="5">
        <f>W64-U64-V64</f>
        <v>9.0609</v>
      </c>
      <c r="Y64" s="86">
        <f>MIN(X64:X66)</f>
        <v>9.0609</v>
      </c>
      <c r="Z64" s="89" t="s">
        <v>21</v>
      </c>
    </row>
    <row r="65" spans="1:26" s="1" customFormat="1" ht="22.5" customHeight="1">
      <c r="A65" s="130"/>
      <c r="B65" s="27" t="s">
        <v>54</v>
      </c>
      <c r="C65" s="50" t="s">
        <v>46</v>
      </c>
      <c r="D65" s="45">
        <v>5.9</v>
      </c>
      <c r="E65" s="25">
        <v>5.2</v>
      </c>
      <c r="F65" s="25" t="s">
        <v>55</v>
      </c>
      <c r="G65" s="26">
        <f t="shared" si="17"/>
        <v>0.7000000000000002</v>
      </c>
      <c r="H65" s="25">
        <v>0</v>
      </c>
      <c r="I65" s="24">
        <f>1.05*16</f>
        <v>16.8</v>
      </c>
      <c r="J65" s="5">
        <f>I65-D65</f>
        <v>10.9</v>
      </c>
      <c r="K65" s="90"/>
      <c r="L65" s="90"/>
      <c r="M65" s="16"/>
      <c r="N65" s="96"/>
      <c r="O65" s="27" t="s">
        <v>54</v>
      </c>
      <c r="P65" s="28" t="s">
        <v>46</v>
      </c>
      <c r="Q65" s="62"/>
      <c r="R65" s="44">
        <f t="shared" si="2"/>
        <v>5.9</v>
      </c>
      <c r="S65" s="25">
        <v>5.2</v>
      </c>
      <c r="T65" s="25" t="s">
        <v>55</v>
      </c>
      <c r="U65" s="26">
        <f t="shared" si="18"/>
        <v>0.7000000000000002</v>
      </c>
      <c r="V65" s="25">
        <v>0</v>
      </c>
      <c r="W65" s="24">
        <f>1.05*16</f>
        <v>16.8</v>
      </c>
      <c r="X65" s="5">
        <f>W65-R65</f>
        <v>10.9</v>
      </c>
      <c r="Y65" s="87"/>
      <c r="Z65" s="96"/>
    </row>
    <row r="66" spans="1:26" s="1" customFormat="1" ht="22.5" customHeight="1">
      <c r="A66" s="131"/>
      <c r="B66" s="27" t="s">
        <v>41</v>
      </c>
      <c r="C66" s="50" t="s">
        <v>46</v>
      </c>
      <c r="D66" s="45">
        <v>6.86</v>
      </c>
      <c r="E66" s="25">
        <v>0</v>
      </c>
      <c r="F66" s="25">
        <v>0</v>
      </c>
      <c r="G66" s="26">
        <f t="shared" si="17"/>
        <v>6.86</v>
      </c>
      <c r="H66" s="25">
        <v>0</v>
      </c>
      <c r="I66" s="24">
        <f>1.05*16</f>
        <v>16.8</v>
      </c>
      <c r="J66" s="5">
        <f>I66-G66-H66</f>
        <v>9.940000000000001</v>
      </c>
      <c r="K66" s="91"/>
      <c r="L66" s="91"/>
      <c r="M66" s="16"/>
      <c r="N66" s="97"/>
      <c r="O66" s="27" t="s">
        <v>41</v>
      </c>
      <c r="P66" s="28" t="s">
        <v>46</v>
      </c>
      <c r="Q66" s="62">
        <f>0.102+0.031+0.005+0.032+0.018+0.006+0.011+0.016+0.007-0.0973+0.0215+0.0269</f>
        <v>0.17910000000000004</v>
      </c>
      <c r="R66" s="44">
        <f t="shared" si="2"/>
        <v>7.0391</v>
      </c>
      <c r="S66" s="25">
        <v>0</v>
      </c>
      <c r="T66" s="25">
        <v>0</v>
      </c>
      <c r="U66" s="26">
        <f t="shared" si="18"/>
        <v>7.0391</v>
      </c>
      <c r="V66" s="25">
        <v>0</v>
      </c>
      <c r="W66" s="24">
        <f>1.05*16</f>
        <v>16.8</v>
      </c>
      <c r="X66" s="5">
        <f>W66-U66-V66</f>
        <v>9.7609</v>
      </c>
      <c r="Y66" s="88"/>
      <c r="Z66" s="97"/>
    </row>
    <row r="67" spans="1:26" s="1" customFormat="1" ht="22.5">
      <c r="A67" s="18">
        <v>40</v>
      </c>
      <c r="B67" s="52" t="s">
        <v>71</v>
      </c>
      <c r="C67" s="50" t="s">
        <v>23</v>
      </c>
      <c r="D67" s="45">
        <v>8.27</v>
      </c>
      <c r="E67" s="25">
        <v>0</v>
      </c>
      <c r="F67" s="25">
        <v>0</v>
      </c>
      <c r="G67" s="24">
        <f t="shared" si="17"/>
        <v>8.27</v>
      </c>
      <c r="H67" s="25">
        <v>0</v>
      </c>
      <c r="I67" s="24">
        <f>1.05*10</f>
        <v>10.5</v>
      </c>
      <c r="J67" s="6">
        <f>I67-G67-H67</f>
        <v>2.2300000000000004</v>
      </c>
      <c r="K67" s="24">
        <f>J67</f>
        <v>2.2300000000000004</v>
      </c>
      <c r="L67" s="17" t="s">
        <v>21</v>
      </c>
      <c r="M67" s="16"/>
      <c r="N67" s="12">
        <v>40</v>
      </c>
      <c r="O67" s="52" t="s">
        <v>71</v>
      </c>
      <c r="P67" s="28" t="s">
        <v>23</v>
      </c>
      <c r="Q67" s="62">
        <f>1.183+0.215</f>
        <v>1.3980000000000001</v>
      </c>
      <c r="R67" s="44">
        <f t="shared" si="2"/>
        <v>9.668</v>
      </c>
      <c r="S67" s="25">
        <v>0</v>
      </c>
      <c r="T67" s="25">
        <v>0</v>
      </c>
      <c r="U67" s="26">
        <f t="shared" si="18"/>
        <v>9.668</v>
      </c>
      <c r="V67" s="25">
        <v>0</v>
      </c>
      <c r="W67" s="24">
        <f>1.05*10</f>
        <v>10.5</v>
      </c>
      <c r="X67" s="6">
        <f>W67-U67-V67</f>
        <v>0.8320000000000007</v>
      </c>
      <c r="Y67" s="26">
        <f>X67</f>
        <v>0.8320000000000007</v>
      </c>
      <c r="Z67" s="12" t="s">
        <v>21</v>
      </c>
    </row>
    <row r="68" spans="1:26" s="1" customFormat="1" ht="22.5">
      <c r="A68" s="129">
        <v>41</v>
      </c>
      <c r="B68" s="25" t="s">
        <v>72</v>
      </c>
      <c r="C68" s="50" t="s">
        <v>28</v>
      </c>
      <c r="D68" s="45">
        <f>D69+D70</f>
        <v>15.72</v>
      </c>
      <c r="E68" s="25">
        <f>E69+E70</f>
        <v>2.68</v>
      </c>
      <c r="F68" s="25" t="s">
        <v>55</v>
      </c>
      <c r="G68" s="26">
        <f t="shared" si="17"/>
        <v>13.040000000000001</v>
      </c>
      <c r="H68" s="25">
        <v>0</v>
      </c>
      <c r="I68" s="24">
        <f>1.05*25</f>
        <v>26.25</v>
      </c>
      <c r="J68" s="5">
        <f>I68-G68-H68</f>
        <v>13.209999999999999</v>
      </c>
      <c r="K68" s="86">
        <f>MIN(J68:J70)</f>
        <v>13.209999999999999</v>
      </c>
      <c r="L68" s="89" t="s">
        <v>21</v>
      </c>
      <c r="M68" s="16"/>
      <c r="N68" s="89">
        <v>41</v>
      </c>
      <c r="O68" s="25" t="s">
        <v>72</v>
      </c>
      <c r="P68" s="28" t="s">
        <v>28</v>
      </c>
      <c r="Q68" s="62">
        <f>Q69+Q70</f>
        <v>0</v>
      </c>
      <c r="R68" s="44">
        <f>R69+R70</f>
        <v>15.72</v>
      </c>
      <c r="S68" s="25">
        <f>S69+S70</f>
        <v>2.4</v>
      </c>
      <c r="T68" s="25" t="s">
        <v>55</v>
      </c>
      <c r="U68" s="26">
        <f t="shared" si="18"/>
        <v>13.32</v>
      </c>
      <c r="V68" s="25">
        <v>0</v>
      </c>
      <c r="W68" s="24">
        <f>1.05*25</f>
        <v>26.25</v>
      </c>
      <c r="X68" s="5">
        <f>W68-U68-V68</f>
        <v>12.93</v>
      </c>
      <c r="Y68" s="86">
        <f>MIN(X68:X70)</f>
        <v>12.93</v>
      </c>
      <c r="Z68" s="89" t="s">
        <v>21</v>
      </c>
    </row>
    <row r="69" spans="1:26" s="1" customFormat="1" ht="22.5" customHeight="1">
      <c r="A69" s="130"/>
      <c r="B69" s="27" t="s">
        <v>54</v>
      </c>
      <c r="C69" s="50" t="s">
        <v>28</v>
      </c>
      <c r="D69" s="45">
        <v>6.07</v>
      </c>
      <c r="E69" s="25">
        <v>2.68</v>
      </c>
      <c r="F69" s="25" t="s">
        <v>55</v>
      </c>
      <c r="G69" s="26">
        <f t="shared" si="17"/>
        <v>3.39</v>
      </c>
      <c r="H69" s="25">
        <v>0</v>
      </c>
      <c r="I69" s="24">
        <f>1.05*25</f>
        <v>26.25</v>
      </c>
      <c r="J69" s="5">
        <f>I69-D69</f>
        <v>20.18</v>
      </c>
      <c r="K69" s="90"/>
      <c r="L69" s="90"/>
      <c r="M69" s="16"/>
      <c r="N69" s="96"/>
      <c r="O69" s="27" t="s">
        <v>54</v>
      </c>
      <c r="P69" s="28" t="s">
        <v>28</v>
      </c>
      <c r="Q69" s="62"/>
      <c r="R69" s="44">
        <f t="shared" si="2"/>
        <v>6.07</v>
      </c>
      <c r="S69" s="25">
        <v>2.4</v>
      </c>
      <c r="T69" s="25" t="s">
        <v>55</v>
      </c>
      <c r="U69" s="26">
        <f t="shared" si="18"/>
        <v>3.6700000000000004</v>
      </c>
      <c r="V69" s="25">
        <v>0</v>
      </c>
      <c r="W69" s="24">
        <f>1.05*25</f>
        <v>26.25</v>
      </c>
      <c r="X69" s="5">
        <f>W69-R69</f>
        <v>20.18</v>
      </c>
      <c r="Y69" s="87"/>
      <c r="Z69" s="96"/>
    </row>
    <row r="70" spans="1:26" s="1" customFormat="1" ht="24.75" customHeight="1">
      <c r="A70" s="131"/>
      <c r="B70" s="27" t="s">
        <v>41</v>
      </c>
      <c r="C70" s="50" t="s">
        <v>28</v>
      </c>
      <c r="D70" s="45">
        <v>9.65</v>
      </c>
      <c r="E70" s="25">
        <v>0</v>
      </c>
      <c r="F70" s="25">
        <v>0</v>
      </c>
      <c r="G70" s="26">
        <v>0</v>
      </c>
      <c r="H70" s="25">
        <v>0</v>
      </c>
      <c r="I70" s="24">
        <f>1.05*25</f>
        <v>26.25</v>
      </c>
      <c r="J70" s="5">
        <f>I70-G70-H70</f>
        <v>26.25</v>
      </c>
      <c r="K70" s="91"/>
      <c r="L70" s="91"/>
      <c r="M70" s="16"/>
      <c r="N70" s="97"/>
      <c r="O70" s="27" t="s">
        <v>41</v>
      </c>
      <c r="P70" s="28" t="s">
        <v>28</v>
      </c>
      <c r="Q70" s="62">
        <v>0</v>
      </c>
      <c r="R70" s="44">
        <f aca="true" t="shared" si="21" ref="R70:R133">Q70+D70</f>
        <v>9.65</v>
      </c>
      <c r="S70" s="25">
        <v>0</v>
      </c>
      <c r="T70" s="25">
        <v>0</v>
      </c>
      <c r="U70" s="26">
        <v>0</v>
      </c>
      <c r="V70" s="25">
        <v>0</v>
      </c>
      <c r="W70" s="24">
        <f>1.05*25</f>
        <v>26.25</v>
      </c>
      <c r="X70" s="5">
        <f>W70-U70-V70</f>
        <v>26.25</v>
      </c>
      <c r="Y70" s="88"/>
      <c r="Z70" s="97"/>
    </row>
    <row r="71" spans="1:26" s="1" customFormat="1" ht="22.5">
      <c r="A71" s="18">
        <v>42</v>
      </c>
      <c r="B71" s="52" t="s">
        <v>73</v>
      </c>
      <c r="C71" s="50" t="s">
        <v>28</v>
      </c>
      <c r="D71" s="61">
        <v>17.92</v>
      </c>
      <c r="E71" s="52">
        <v>0</v>
      </c>
      <c r="F71" s="52">
        <v>0</v>
      </c>
      <c r="G71" s="53">
        <f aca="true" t="shared" si="22" ref="G71:G102">D71-E71</f>
        <v>17.92</v>
      </c>
      <c r="H71" s="52">
        <v>0</v>
      </c>
      <c r="I71" s="53">
        <f>1.05*25</f>
        <v>26.25</v>
      </c>
      <c r="J71" s="2">
        <f>I71-G71-H71</f>
        <v>8.329999999999998</v>
      </c>
      <c r="K71" s="61">
        <f>J71</f>
        <v>8.329999999999998</v>
      </c>
      <c r="L71" s="70" t="s">
        <v>21</v>
      </c>
      <c r="M71" s="16"/>
      <c r="N71" s="18">
        <v>42</v>
      </c>
      <c r="O71" s="52" t="s">
        <v>73</v>
      </c>
      <c r="P71" s="50" t="s">
        <v>28</v>
      </c>
      <c r="Q71" s="60">
        <f>0.965+0.005+0.011+0.12+0.011+0.054+0.8505+0.0054-0.2408+1.0214</f>
        <v>2.8024999999999998</v>
      </c>
      <c r="R71" s="58">
        <f t="shared" si="21"/>
        <v>20.7225</v>
      </c>
      <c r="S71" s="52">
        <v>0</v>
      </c>
      <c r="T71" s="52">
        <v>0</v>
      </c>
      <c r="U71" s="51">
        <f aca="true" t="shared" si="23" ref="U71:U102">R71-S71</f>
        <v>20.7225</v>
      </c>
      <c r="V71" s="52">
        <v>0</v>
      </c>
      <c r="W71" s="53">
        <f>1.05*25</f>
        <v>26.25</v>
      </c>
      <c r="X71" s="2">
        <f>W71-U71-V71</f>
        <v>5.5275</v>
      </c>
      <c r="Y71" s="61">
        <f>X71</f>
        <v>5.5275</v>
      </c>
      <c r="Z71" s="18" t="s">
        <v>21</v>
      </c>
    </row>
    <row r="72" spans="1:26" s="1" customFormat="1" ht="22.5">
      <c r="A72" s="18">
        <v>43</v>
      </c>
      <c r="B72" s="25" t="s">
        <v>74</v>
      </c>
      <c r="C72" s="50" t="s">
        <v>46</v>
      </c>
      <c r="D72" s="45">
        <v>11.684</v>
      </c>
      <c r="E72" s="25">
        <v>0</v>
      </c>
      <c r="F72" s="25">
        <v>0</v>
      </c>
      <c r="G72" s="26">
        <f t="shared" si="22"/>
        <v>11.684</v>
      </c>
      <c r="H72" s="25">
        <v>0</v>
      </c>
      <c r="I72" s="24">
        <f>1.05*16</f>
        <v>16.8</v>
      </c>
      <c r="J72" s="6">
        <f>I72-G72-H72</f>
        <v>5.116000000000001</v>
      </c>
      <c r="K72" s="26">
        <f>J72</f>
        <v>5.116000000000001</v>
      </c>
      <c r="L72" s="17" t="s">
        <v>21</v>
      </c>
      <c r="M72" s="16"/>
      <c r="N72" s="12">
        <v>43</v>
      </c>
      <c r="O72" s="25" t="s">
        <v>74</v>
      </c>
      <c r="P72" s="28" t="s">
        <v>46</v>
      </c>
      <c r="Q72" s="62">
        <f>0.143+0.054+0.005+0.015+0.075+0.016+0.005+0.053+0.215+0.012+0.038+0.0048+0.0161-0.3316+0.029+0.0048</f>
        <v>0.3541000000000001</v>
      </c>
      <c r="R72" s="44">
        <f t="shared" si="21"/>
        <v>12.0381</v>
      </c>
      <c r="S72" s="25">
        <v>0</v>
      </c>
      <c r="T72" s="25">
        <v>0</v>
      </c>
      <c r="U72" s="26">
        <f t="shared" si="23"/>
        <v>12.0381</v>
      </c>
      <c r="V72" s="25">
        <v>0</v>
      </c>
      <c r="W72" s="24">
        <f>1.05*16</f>
        <v>16.8</v>
      </c>
      <c r="X72" s="6">
        <f>W72-U72-V72</f>
        <v>4.761900000000001</v>
      </c>
      <c r="Y72" s="26">
        <f>X72</f>
        <v>4.761900000000001</v>
      </c>
      <c r="Z72" s="12" t="s">
        <v>21</v>
      </c>
    </row>
    <row r="73" spans="1:26" s="1" customFormat="1" ht="22.5">
      <c r="A73" s="22">
        <v>44</v>
      </c>
      <c r="B73" s="31" t="s">
        <v>75</v>
      </c>
      <c r="C73" s="32" t="s">
        <v>23</v>
      </c>
      <c r="D73" s="46">
        <v>18.28</v>
      </c>
      <c r="E73" s="31">
        <v>0</v>
      </c>
      <c r="F73" s="31">
        <v>0</v>
      </c>
      <c r="G73" s="30">
        <f t="shared" si="22"/>
        <v>18.28</v>
      </c>
      <c r="H73" s="31">
        <v>0</v>
      </c>
      <c r="I73" s="30">
        <f>1.05*10</f>
        <v>10.5</v>
      </c>
      <c r="J73" s="4">
        <f>I73-G73-H73</f>
        <v>-7.780000000000001</v>
      </c>
      <c r="K73" s="46">
        <f>J73</f>
        <v>-7.780000000000001</v>
      </c>
      <c r="L73" s="19" t="s">
        <v>22</v>
      </c>
      <c r="M73" s="16"/>
      <c r="N73" s="22">
        <v>44</v>
      </c>
      <c r="O73" s="31" t="s">
        <v>75</v>
      </c>
      <c r="P73" s="32" t="s">
        <v>23</v>
      </c>
      <c r="Q73" s="64">
        <f>0.457+1.078+1.078+0.1398</f>
        <v>2.7528000000000006</v>
      </c>
      <c r="R73" s="48">
        <f t="shared" si="21"/>
        <v>21.0328</v>
      </c>
      <c r="S73" s="31">
        <v>0</v>
      </c>
      <c r="T73" s="31">
        <v>0</v>
      </c>
      <c r="U73" s="29">
        <f t="shared" si="23"/>
        <v>21.0328</v>
      </c>
      <c r="V73" s="31">
        <v>0</v>
      </c>
      <c r="W73" s="30">
        <f>1.05*10</f>
        <v>10.5</v>
      </c>
      <c r="X73" s="4">
        <f>W73-U73-V73</f>
        <v>-10.532800000000002</v>
      </c>
      <c r="Y73" s="46">
        <f>X73</f>
        <v>-10.532800000000002</v>
      </c>
      <c r="Z73" s="22" t="s">
        <v>22</v>
      </c>
    </row>
    <row r="74" spans="1:26" s="1" customFormat="1" ht="33.75">
      <c r="A74" s="129">
        <v>45</v>
      </c>
      <c r="B74" s="25" t="s">
        <v>76</v>
      </c>
      <c r="C74" s="50" t="s">
        <v>35</v>
      </c>
      <c r="D74" s="45">
        <f>D75+D76</f>
        <v>7.056</v>
      </c>
      <c r="E74" s="25">
        <f>E75+E76</f>
        <v>1.4</v>
      </c>
      <c r="F74" s="25" t="s">
        <v>55</v>
      </c>
      <c r="G74" s="26">
        <f t="shared" si="22"/>
        <v>5.656000000000001</v>
      </c>
      <c r="H74" s="25">
        <v>0</v>
      </c>
      <c r="I74" s="24">
        <f>1.05*10</f>
        <v>10.5</v>
      </c>
      <c r="J74" s="5">
        <f>I74-G74-H74</f>
        <v>4.843999999999999</v>
      </c>
      <c r="K74" s="86">
        <f>MIN(J74:J76)</f>
        <v>4.843999999999999</v>
      </c>
      <c r="L74" s="89" t="s">
        <v>21</v>
      </c>
      <c r="M74" s="16"/>
      <c r="N74" s="89">
        <v>45</v>
      </c>
      <c r="O74" s="25" t="s">
        <v>76</v>
      </c>
      <c r="P74" s="28" t="s">
        <v>35</v>
      </c>
      <c r="Q74" s="62">
        <f>Q75+Q76</f>
        <v>0.5838</v>
      </c>
      <c r="R74" s="44">
        <f>R75+R76</f>
        <v>7.6398</v>
      </c>
      <c r="S74" s="25">
        <f>S75+S76</f>
        <v>1.4</v>
      </c>
      <c r="T74" s="25" t="s">
        <v>55</v>
      </c>
      <c r="U74" s="26">
        <f t="shared" si="23"/>
        <v>6.239800000000001</v>
      </c>
      <c r="V74" s="25">
        <v>0</v>
      </c>
      <c r="W74" s="24">
        <f>1.05*10</f>
        <v>10.5</v>
      </c>
      <c r="X74" s="5">
        <f>W74-U74-V74</f>
        <v>4.260199999999999</v>
      </c>
      <c r="Y74" s="86">
        <f>MIN(X74:X76)</f>
        <v>4.260199999999999</v>
      </c>
      <c r="Z74" s="89" t="s">
        <v>21</v>
      </c>
    </row>
    <row r="75" spans="1:26" s="1" customFormat="1" ht="24" customHeight="1">
      <c r="A75" s="130"/>
      <c r="B75" s="27" t="s">
        <v>54</v>
      </c>
      <c r="C75" s="50" t="s">
        <v>35</v>
      </c>
      <c r="D75" s="45">
        <f>1.526+0.708</f>
        <v>2.234</v>
      </c>
      <c r="E75" s="25">
        <v>1.4</v>
      </c>
      <c r="F75" s="25" t="s">
        <v>55</v>
      </c>
      <c r="G75" s="26">
        <f t="shared" si="22"/>
        <v>0.8340000000000001</v>
      </c>
      <c r="H75" s="25">
        <v>0</v>
      </c>
      <c r="I75" s="24">
        <f>1.05*10</f>
        <v>10.5</v>
      </c>
      <c r="J75" s="5">
        <f>I75-D75</f>
        <v>8.266</v>
      </c>
      <c r="K75" s="90"/>
      <c r="L75" s="90"/>
      <c r="M75" s="16"/>
      <c r="N75" s="96"/>
      <c r="O75" s="27" t="s">
        <v>54</v>
      </c>
      <c r="P75" s="28" t="s">
        <v>35</v>
      </c>
      <c r="Q75" s="62"/>
      <c r="R75" s="44">
        <f t="shared" si="21"/>
        <v>2.234</v>
      </c>
      <c r="S75" s="25">
        <v>1.4</v>
      </c>
      <c r="T75" s="25" t="s">
        <v>55</v>
      </c>
      <c r="U75" s="26">
        <f t="shared" si="23"/>
        <v>0.8340000000000001</v>
      </c>
      <c r="V75" s="25">
        <v>0</v>
      </c>
      <c r="W75" s="24">
        <f>1.05*10</f>
        <v>10.5</v>
      </c>
      <c r="X75" s="5">
        <f>W75-R75</f>
        <v>8.266</v>
      </c>
      <c r="Y75" s="87"/>
      <c r="Z75" s="96"/>
    </row>
    <row r="76" spans="1:26" s="1" customFormat="1" ht="24" customHeight="1">
      <c r="A76" s="131"/>
      <c r="B76" s="27" t="s">
        <v>41</v>
      </c>
      <c r="C76" s="50" t="s">
        <v>35</v>
      </c>
      <c r="D76" s="45">
        <f>3.22+1.602</f>
        <v>4.822</v>
      </c>
      <c r="E76" s="25">
        <v>0</v>
      </c>
      <c r="F76" s="25">
        <v>0</v>
      </c>
      <c r="G76" s="26">
        <f t="shared" si="22"/>
        <v>4.822</v>
      </c>
      <c r="H76" s="25">
        <v>0</v>
      </c>
      <c r="I76" s="24">
        <f>1.05*10</f>
        <v>10.5</v>
      </c>
      <c r="J76" s="5">
        <f>I76-G76-H76</f>
        <v>5.678</v>
      </c>
      <c r="K76" s="91"/>
      <c r="L76" s="91"/>
      <c r="M76" s="16"/>
      <c r="N76" s="97"/>
      <c r="O76" s="27" t="s">
        <v>41</v>
      </c>
      <c r="P76" s="28" t="s">
        <v>35</v>
      </c>
      <c r="Q76" s="62">
        <f>0.059+0.048+0.005+0.017+0.005+0.031+0.023+0.348+0.014+0.01+0.0172+0.0263-0.0914+0.0108+0.0426+0.0183</f>
        <v>0.5838</v>
      </c>
      <c r="R76" s="44">
        <f t="shared" si="21"/>
        <v>5.4058</v>
      </c>
      <c r="S76" s="25">
        <v>0</v>
      </c>
      <c r="T76" s="25">
        <v>0</v>
      </c>
      <c r="U76" s="26">
        <f t="shared" si="23"/>
        <v>5.4058</v>
      </c>
      <c r="V76" s="25">
        <v>0</v>
      </c>
      <c r="W76" s="24">
        <f>1.05*10</f>
        <v>10.5</v>
      </c>
      <c r="X76" s="5">
        <f>W76-U76-V76</f>
        <v>5.0942</v>
      </c>
      <c r="Y76" s="88"/>
      <c r="Z76" s="97"/>
    </row>
    <row r="77" spans="1:26" s="1" customFormat="1" ht="22.5">
      <c r="A77" s="129">
        <v>46</v>
      </c>
      <c r="B77" s="25" t="s">
        <v>77</v>
      </c>
      <c r="C77" s="50" t="s">
        <v>27</v>
      </c>
      <c r="D77" s="45">
        <f>D78+D79</f>
        <v>10.253</v>
      </c>
      <c r="E77" s="25">
        <f>E78+E79</f>
        <v>3.7</v>
      </c>
      <c r="F77" s="25" t="s">
        <v>55</v>
      </c>
      <c r="G77" s="26">
        <f t="shared" si="22"/>
        <v>6.553</v>
      </c>
      <c r="H77" s="25">
        <v>0</v>
      </c>
      <c r="I77" s="24">
        <f>1.05*16</f>
        <v>16.8</v>
      </c>
      <c r="J77" s="5">
        <f>I77-G77-H77</f>
        <v>10.247</v>
      </c>
      <c r="K77" s="86">
        <f>MIN(J77:J79)</f>
        <v>10.247</v>
      </c>
      <c r="L77" s="89" t="s">
        <v>21</v>
      </c>
      <c r="M77" s="16"/>
      <c r="N77" s="89">
        <v>46</v>
      </c>
      <c r="O77" s="25" t="s">
        <v>77</v>
      </c>
      <c r="P77" s="28" t="s">
        <v>27</v>
      </c>
      <c r="Q77" s="62">
        <f>Q78+Q79</f>
        <v>0.06030000000000001</v>
      </c>
      <c r="R77" s="44">
        <f>R78+R79</f>
        <v>10.3133</v>
      </c>
      <c r="S77" s="25">
        <f>S78+S79</f>
        <v>3.7</v>
      </c>
      <c r="T77" s="25" t="s">
        <v>55</v>
      </c>
      <c r="U77" s="26">
        <f t="shared" si="23"/>
        <v>6.6133</v>
      </c>
      <c r="V77" s="25">
        <v>0</v>
      </c>
      <c r="W77" s="24">
        <f>1.05*16</f>
        <v>16.8</v>
      </c>
      <c r="X77" s="5">
        <f>W77-U77-V77</f>
        <v>10.186700000000002</v>
      </c>
      <c r="Y77" s="86">
        <f>MIN(X77:X79)</f>
        <v>10.186700000000002</v>
      </c>
      <c r="Z77" s="89" t="s">
        <v>21</v>
      </c>
    </row>
    <row r="78" spans="1:26" s="1" customFormat="1" ht="21" customHeight="1">
      <c r="A78" s="130"/>
      <c r="B78" s="27" t="s">
        <v>54</v>
      </c>
      <c r="C78" s="50" t="s">
        <v>27</v>
      </c>
      <c r="D78" s="45">
        <f>3.748+1.249</f>
        <v>4.997</v>
      </c>
      <c r="E78" s="25">
        <v>3.7</v>
      </c>
      <c r="F78" s="25" t="s">
        <v>55</v>
      </c>
      <c r="G78" s="26">
        <f t="shared" si="22"/>
        <v>1.2969999999999997</v>
      </c>
      <c r="H78" s="25">
        <v>0</v>
      </c>
      <c r="I78" s="24">
        <f>1.05*16</f>
        <v>16.8</v>
      </c>
      <c r="J78" s="5">
        <f>I78-D78</f>
        <v>11.803</v>
      </c>
      <c r="K78" s="90"/>
      <c r="L78" s="90"/>
      <c r="M78" s="16"/>
      <c r="N78" s="96"/>
      <c r="O78" s="27" t="s">
        <v>54</v>
      </c>
      <c r="P78" s="28" t="s">
        <v>27</v>
      </c>
      <c r="Q78" s="62"/>
      <c r="R78" s="44">
        <f t="shared" si="21"/>
        <v>4.997</v>
      </c>
      <c r="S78" s="25">
        <v>3.7</v>
      </c>
      <c r="T78" s="25" t="s">
        <v>55</v>
      </c>
      <c r="U78" s="26">
        <f t="shared" si="23"/>
        <v>1.2969999999999997</v>
      </c>
      <c r="V78" s="25">
        <v>0</v>
      </c>
      <c r="W78" s="24">
        <f>1.05*16</f>
        <v>16.8</v>
      </c>
      <c r="X78" s="5">
        <f>W78-R78</f>
        <v>11.803</v>
      </c>
      <c r="Y78" s="87"/>
      <c r="Z78" s="96"/>
    </row>
    <row r="79" spans="1:26" s="1" customFormat="1" ht="18.75" customHeight="1">
      <c r="A79" s="131"/>
      <c r="B79" s="27" t="s">
        <v>41</v>
      </c>
      <c r="C79" s="50" t="s">
        <v>27</v>
      </c>
      <c r="D79" s="45">
        <f>1.109+4.147</f>
        <v>5.256</v>
      </c>
      <c r="E79" s="25">
        <v>0</v>
      </c>
      <c r="F79" s="25">
        <v>0</v>
      </c>
      <c r="G79" s="26">
        <f t="shared" si="22"/>
        <v>5.256</v>
      </c>
      <c r="H79" s="25">
        <v>0</v>
      </c>
      <c r="I79" s="24">
        <f>1.05*16</f>
        <v>16.8</v>
      </c>
      <c r="J79" s="5">
        <f>I79-G79-H79</f>
        <v>11.544</v>
      </c>
      <c r="K79" s="91"/>
      <c r="L79" s="91"/>
      <c r="M79" s="16"/>
      <c r="N79" s="97"/>
      <c r="O79" s="27" t="s">
        <v>41</v>
      </c>
      <c r="P79" s="28" t="s">
        <v>27</v>
      </c>
      <c r="Q79" s="62">
        <f>0.02+0.016+0.003+0.003-0.0086+0.0269</f>
        <v>0.06030000000000001</v>
      </c>
      <c r="R79" s="44">
        <f t="shared" si="21"/>
        <v>5.3163</v>
      </c>
      <c r="S79" s="25">
        <v>0</v>
      </c>
      <c r="T79" s="25">
        <v>0</v>
      </c>
      <c r="U79" s="26">
        <f t="shared" si="23"/>
        <v>5.3163</v>
      </c>
      <c r="V79" s="25">
        <v>0</v>
      </c>
      <c r="W79" s="24">
        <f>1.05*16</f>
        <v>16.8</v>
      </c>
      <c r="X79" s="5">
        <f>W79-U79-V79</f>
        <v>11.4837</v>
      </c>
      <c r="Y79" s="88"/>
      <c r="Z79" s="97"/>
    </row>
    <row r="80" spans="1:26" s="1" customFormat="1" ht="22.5">
      <c r="A80" s="18">
        <v>47</v>
      </c>
      <c r="B80" s="52" t="s">
        <v>78</v>
      </c>
      <c r="C80" s="50" t="s">
        <v>47</v>
      </c>
      <c r="D80" s="45">
        <v>0.717</v>
      </c>
      <c r="E80" s="25">
        <v>0</v>
      </c>
      <c r="F80" s="25">
        <v>0</v>
      </c>
      <c r="G80" s="26">
        <f t="shared" si="22"/>
        <v>0.717</v>
      </c>
      <c r="H80" s="25">
        <v>0</v>
      </c>
      <c r="I80" s="24">
        <f>1.05*2.5</f>
        <v>2.625</v>
      </c>
      <c r="J80" s="6">
        <f>I80-G80-H80</f>
        <v>1.908</v>
      </c>
      <c r="K80" s="26">
        <f>J80</f>
        <v>1.908</v>
      </c>
      <c r="L80" s="17" t="s">
        <v>21</v>
      </c>
      <c r="M80" s="16"/>
      <c r="N80" s="12">
        <v>47</v>
      </c>
      <c r="O80" s="25" t="s">
        <v>78</v>
      </c>
      <c r="P80" s="28" t="s">
        <v>47</v>
      </c>
      <c r="Q80" s="62">
        <f>0.008+0.002+0.005+0.005+0.008+0.0054+0.0108+0.0161</f>
        <v>0.060300000000000006</v>
      </c>
      <c r="R80" s="44">
        <f t="shared" si="21"/>
        <v>0.7773</v>
      </c>
      <c r="S80" s="25">
        <v>0</v>
      </c>
      <c r="T80" s="25">
        <v>0</v>
      </c>
      <c r="U80" s="26">
        <f t="shared" si="23"/>
        <v>0.7773</v>
      </c>
      <c r="V80" s="25">
        <v>0</v>
      </c>
      <c r="W80" s="24">
        <f>1.05*2.5</f>
        <v>2.625</v>
      </c>
      <c r="X80" s="6">
        <f>W80-U80-V80</f>
        <v>1.8477000000000001</v>
      </c>
      <c r="Y80" s="26">
        <f>X80</f>
        <v>1.8477000000000001</v>
      </c>
      <c r="Z80" s="12" t="s">
        <v>21</v>
      </c>
    </row>
    <row r="81" spans="1:26" s="57" customFormat="1" ht="22.5">
      <c r="A81" s="18">
        <v>48</v>
      </c>
      <c r="B81" s="52" t="s">
        <v>79</v>
      </c>
      <c r="C81" s="50" t="s">
        <v>27</v>
      </c>
      <c r="D81" s="61">
        <v>15.29</v>
      </c>
      <c r="E81" s="52">
        <v>0</v>
      </c>
      <c r="F81" s="52">
        <v>0</v>
      </c>
      <c r="G81" s="53">
        <f t="shared" si="22"/>
        <v>15.29</v>
      </c>
      <c r="H81" s="52">
        <v>0</v>
      </c>
      <c r="I81" s="53">
        <f>1.05*16</f>
        <v>16.8</v>
      </c>
      <c r="J81" s="2">
        <f>I81-G81-H81</f>
        <v>1.5100000000000016</v>
      </c>
      <c r="K81" s="61">
        <f>J81</f>
        <v>1.5100000000000016</v>
      </c>
      <c r="L81" s="70" t="s">
        <v>21</v>
      </c>
      <c r="M81" s="16"/>
      <c r="N81" s="18">
        <v>48</v>
      </c>
      <c r="O81" s="52" t="s">
        <v>79</v>
      </c>
      <c r="P81" s="50" t="s">
        <v>27</v>
      </c>
      <c r="Q81" s="60">
        <f>1.472-0.8354</f>
        <v>0.6365999999999999</v>
      </c>
      <c r="R81" s="58">
        <f t="shared" si="21"/>
        <v>15.926599999999999</v>
      </c>
      <c r="S81" s="52">
        <v>0</v>
      </c>
      <c r="T81" s="52">
        <v>0</v>
      </c>
      <c r="U81" s="51">
        <f t="shared" si="23"/>
        <v>15.926599999999999</v>
      </c>
      <c r="V81" s="52">
        <v>0</v>
      </c>
      <c r="W81" s="53">
        <f>1.05*16</f>
        <v>16.8</v>
      </c>
      <c r="X81" s="2">
        <f>W81-U81-V81</f>
        <v>0.873400000000002</v>
      </c>
      <c r="Y81" s="61">
        <f>X81</f>
        <v>0.873400000000002</v>
      </c>
      <c r="Z81" s="18" t="s">
        <v>21</v>
      </c>
    </row>
    <row r="82" spans="1:26" s="1" customFormat="1" ht="22.5">
      <c r="A82" s="129">
        <v>49</v>
      </c>
      <c r="B82" s="25" t="s">
        <v>80</v>
      </c>
      <c r="C82" s="50" t="s">
        <v>35</v>
      </c>
      <c r="D82" s="45">
        <f>D83+D84</f>
        <v>5.796</v>
      </c>
      <c r="E82" s="25">
        <f>E83+E84</f>
        <v>4.5</v>
      </c>
      <c r="F82" s="25" t="s">
        <v>55</v>
      </c>
      <c r="G82" s="26">
        <f t="shared" si="22"/>
        <v>1.2960000000000003</v>
      </c>
      <c r="H82" s="25">
        <v>0</v>
      </c>
      <c r="I82" s="24">
        <f>1.05*10</f>
        <v>10.5</v>
      </c>
      <c r="J82" s="5">
        <f>I82-G82-H82</f>
        <v>9.204</v>
      </c>
      <c r="K82" s="86">
        <f>MIN(J82:J84)</f>
        <v>5.362</v>
      </c>
      <c r="L82" s="89" t="s">
        <v>21</v>
      </c>
      <c r="M82" s="16"/>
      <c r="N82" s="89">
        <v>49</v>
      </c>
      <c r="O82" s="25" t="s">
        <v>80</v>
      </c>
      <c r="P82" s="28" t="s">
        <v>35</v>
      </c>
      <c r="Q82" s="62">
        <f>Q83+Q84</f>
        <v>0.14890000000000003</v>
      </c>
      <c r="R82" s="44">
        <f>R83+R84</f>
        <v>5.9449</v>
      </c>
      <c r="S82" s="25">
        <f>S83+S84</f>
        <v>4.5</v>
      </c>
      <c r="T82" s="25" t="s">
        <v>55</v>
      </c>
      <c r="U82" s="26">
        <f t="shared" si="23"/>
        <v>1.4448999999999996</v>
      </c>
      <c r="V82" s="25">
        <v>0</v>
      </c>
      <c r="W82" s="24">
        <f>1.05*10</f>
        <v>10.5</v>
      </c>
      <c r="X82" s="5">
        <f>W82-U82-V82</f>
        <v>9.0551</v>
      </c>
      <c r="Y82" s="86">
        <f>MIN(X82:X84)</f>
        <v>5.362</v>
      </c>
      <c r="Z82" s="89" t="s">
        <v>21</v>
      </c>
    </row>
    <row r="83" spans="1:26" s="1" customFormat="1" ht="21.75" customHeight="1">
      <c r="A83" s="130"/>
      <c r="B83" s="27" t="s">
        <v>54</v>
      </c>
      <c r="C83" s="50" t="s">
        <v>35</v>
      </c>
      <c r="D83" s="45">
        <v>5.138</v>
      </c>
      <c r="E83" s="25">
        <v>4.5</v>
      </c>
      <c r="F83" s="25" t="s">
        <v>55</v>
      </c>
      <c r="G83" s="26">
        <v>0</v>
      </c>
      <c r="H83" s="25">
        <v>0</v>
      </c>
      <c r="I83" s="24">
        <f>1.05*10</f>
        <v>10.5</v>
      </c>
      <c r="J83" s="5">
        <f>I83-D83</f>
        <v>5.362</v>
      </c>
      <c r="K83" s="90"/>
      <c r="L83" s="90"/>
      <c r="M83" s="16"/>
      <c r="N83" s="96"/>
      <c r="O83" s="27" t="s">
        <v>54</v>
      </c>
      <c r="P83" s="28" t="s">
        <v>35</v>
      </c>
      <c r="Q83" s="62"/>
      <c r="R83" s="44">
        <f t="shared" si="21"/>
        <v>5.138</v>
      </c>
      <c r="S83" s="25">
        <v>4.5</v>
      </c>
      <c r="T83" s="25" t="s">
        <v>55</v>
      </c>
      <c r="U83" s="26">
        <v>0</v>
      </c>
      <c r="V83" s="25">
        <v>0</v>
      </c>
      <c r="W83" s="24">
        <f>1.05*10</f>
        <v>10.5</v>
      </c>
      <c r="X83" s="5">
        <f>W83-R83</f>
        <v>5.362</v>
      </c>
      <c r="Y83" s="87"/>
      <c r="Z83" s="96"/>
    </row>
    <row r="84" spans="1:26" s="1" customFormat="1" ht="21.75" customHeight="1">
      <c r="A84" s="131"/>
      <c r="B84" s="27" t="s">
        <v>41</v>
      </c>
      <c r="C84" s="50" t="s">
        <v>35</v>
      </c>
      <c r="D84" s="45">
        <f>0.658</f>
        <v>0.658</v>
      </c>
      <c r="E84" s="25">
        <v>0</v>
      </c>
      <c r="F84" s="25">
        <v>0</v>
      </c>
      <c r="G84" s="26">
        <f t="shared" si="22"/>
        <v>0.658</v>
      </c>
      <c r="H84" s="25">
        <v>0</v>
      </c>
      <c r="I84" s="24">
        <f>1.05*10</f>
        <v>10.5</v>
      </c>
      <c r="J84" s="5">
        <f aca="true" t="shared" si="24" ref="J84:J92">I84-G84-H84</f>
        <v>9.842</v>
      </c>
      <c r="K84" s="91"/>
      <c r="L84" s="91"/>
      <c r="M84" s="16"/>
      <c r="N84" s="97"/>
      <c r="O84" s="27" t="s">
        <v>41</v>
      </c>
      <c r="P84" s="28" t="s">
        <v>35</v>
      </c>
      <c r="Q84" s="62">
        <f>0.01+0.118+0.323+0.015+0.0151-0.3322</f>
        <v>0.14890000000000003</v>
      </c>
      <c r="R84" s="44">
        <f t="shared" si="21"/>
        <v>0.8069000000000001</v>
      </c>
      <c r="S84" s="25">
        <v>0</v>
      </c>
      <c r="T84" s="25">
        <v>0</v>
      </c>
      <c r="U84" s="26">
        <f t="shared" si="23"/>
        <v>0.8069000000000001</v>
      </c>
      <c r="V84" s="25">
        <v>0</v>
      </c>
      <c r="W84" s="24">
        <f>1.05*10</f>
        <v>10.5</v>
      </c>
      <c r="X84" s="5">
        <f aca="true" t="shared" si="25" ref="X84:X92">W84-U84-V84</f>
        <v>9.6931</v>
      </c>
      <c r="Y84" s="88"/>
      <c r="Z84" s="97"/>
    </row>
    <row r="85" spans="1:26" s="1" customFormat="1" ht="22.5">
      <c r="A85" s="18">
        <v>50</v>
      </c>
      <c r="B85" s="25" t="s">
        <v>81</v>
      </c>
      <c r="C85" s="50" t="s">
        <v>23</v>
      </c>
      <c r="D85" s="45">
        <v>3.457</v>
      </c>
      <c r="E85" s="25">
        <v>0</v>
      </c>
      <c r="F85" s="25">
        <v>0</v>
      </c>
      <c r="G85" s="26">
        <f t="shared" si="22"/>
        <v>3.457</v>
      </c>
      <c r="H85" s="25">
        <v>0</v>
      </c>
      <c r="I85" s="24">
        <f>1.05*6.3</f>
        <v>6.615</v>
      </c>
      <c r="J85" s="6">
        <f t="shared" si="24"/>
        <v>3.1580000000000004</v>
      </c>
      <c r="K85" s="26">
        <f aca="true" t="shared" si="26" ref="K85:K91">J85</f>
        <v>3.1580000000000004</v>
      </c>
      <c r="L85" s="17" t="s">
        <v>21</v>
      </c>
      <c r="M85" s="16"/>
      <c r="N85" s="12">
        <v>50</v>
      </c>
      <c r="O85" s="25" t="s">
        <v>81</v>
      </c>
      <c r="P85" s="28" t="s">
        <v>23</v>
      </c>
      <c r="Q85" s="62">
        <f>0.493+0.107+0.005+0.016+0.005+0.022+0.045+0.125+0.039+0.028+0.147+0.33+0.032+0.0054+0.021-0.4559+0.0032+0.0161</f>
        <v>0.9838000000000001</v>
      </c>
      <c r="R85" s="44">
        <f t="shared" si="21"/>
        <v>4.4408</v>
      </c>
      <c r="S85" s="25">
        <v>0</v>
      </c>
      <c r="T85" s="25">
        <v>0</v>
      </c>
      <c r="U85" s="26">
        <f t="shared" si="23"/>
        <v>4.4408</v>
      </c>
      <c r="V85" s="25">
        <v>0</v>
      </c>
      <c r="W85" s="24">
        <f>1.05*6.3</f>
        <v>6.615</v>
      </c>
      <c r="X85" s="6">
        <f t="shared" si="25"/>
        <v>2.1742</v>
      </c>
      <c r="Y85" s="26">
        <f aca="true" t="shared" si="27" ref="Y85:Y91">X85</f>
        <v>2.1742</v>
      </c>
      <c r="Z85" s="12" t="s">
        <v>21</v>
      </c>
    </row>
    <row r="86" spans="1:26" s="1" customFormat="1" ht="22.5">
      <c r="A86" s="18">
        <v>51</v>
      </c>
      <c r="B86" s="52" t="s">
        <v>82</v>
      </c>
      <c r="C86" s="50" t="s">
        <v>26</v>
      </c>
      <c r="D86" s="45">
        <v>2.438</v>
      </c>
      <c r="E86" s="25">
        <v>0</v>
      </c>
      <c r="F86" s="25">
        <v>0</v>
      </c>
      <c r="G86" s="26">
        <f t="shared" si="22"/>
        <v>2.438</v>
      </c>
      <c r="H86" s="25">
        <v>0</v>
      </c>
      <c r="I86" s="24">
        <f>1.05*6.3</f>
        <v>6.615</v>
      </c>
      <c r="J86" s="6">
        <f t="shared" si="24"/>
        <v>4.177</v>
      </c>
      <c r="K86" s="26">
        <f t="shared" si="26"/>
        <v>4.177</v>
      </c>
      <c r="L86" s="17" t="s">
        <v>21</v>
      </c>
      <c r="M86" s="16"/>
      <c r="N86" s="12">
        <v>51</v>
      </c>
      <c r="O86" s="25" t="s">
        <v>82</v>
      </c>
      <c r="P86" s="28" t="s">
        <v>26</v>
      </c>
      <c r="Q86" s="62">
        <f>0.007+0.005+0.011+0.005+0.005+0.021+0.091+0.022+0.021+0.05+0.022+0.0027-0.1124+0.0373+0.0032</f>
        <v>0.1908</v>
      </c>
      <c r="R86" s="44">
        <f t="shared" si="21"/>
        <v>2.6288</v>
      </c>
      <c r="S86" s="25">
        <v>0</v>
      </c>
      <c r="T86" s="25">
        <v>0</v>
      </c>
      <c r="U86" s="26">
        <f t="shared" si="23"/>
        <v>2.6288</v>
      </c>
      <c r="V86" s="25">
        <v>0</v>
      </c>
      <c r="W86" s="24">
        <f>1.05*6.3</f>
        <v>6.615</v>
      </c>
      <c r="X86" s="6">
        <f t="shared" si="25"/>
        <v>3.9862</v>
      </c>
      <c r="Y86" s="26">
        <f t="shared" si="27"/>
        <v>3.9862</v>
      </c>
      <c r="Z86" s="12" t="s">
        <v>21</v>
      </c>
    </row>
    <row r="87" spans="1:26" s="1" customFormat="1" ht="22.5">
      <c r="A87" s="18">
        <v>52</v>
      </c>
      <c r="B87" s="25" t="s">
        <v>84</v>
      </c>
      <c r="C87" s="50" t="s">
        <v>27</v>
      </c>
      <c r="D87" s="45">
        <v>5.734</v>
      </c>
      <c r="E87" s="25">
        <v>0</v>
      </c>
      <c r="F87" s="25">
        <v>0</v>
      </c>
      <c r="G87" s="24">
        <f t="shared" si="22"/>
        <v>5.734</v>
      </c>
      <c r="H87" s="25">
        <v>0</v>
      </c>
      <c r="I87" s="24">
        <f>1.05*16</f>
        <v>16.8</v>
      </c>
      <c r="J87" s="6">
        <f t="shared" si="24"/>
        <v>11.066</v>
      </c>
      <c r="K87" s="24">
        <f t="shared" si="26"/>
        <v>11.066</v>
      </c>
      <c r="L87" s="17" t="s">
        <v>21</v>
      </c>
      <c r="M87" s="16"/>
      <c r="N87" s="12">
        <v>52</v>
      </c>
      <c r="O87" s="25" t="s">
        <v>84</v>
      </c>
      <c r="P87" s="28" t="s">
        <v>27</v>
      </c>
      <c r="Q87" s="62">
        <f>0.097+0.032-0.0323</f>
        <v>0.09670000000000001</v>
      </c>
      <c r="R87" s="44">
        <f t="shared" si="21"/>
        <v>5.8307</v>
      </c>
      <c r="S87" s="25">
        <v>0</v>
      </c>
      <c r="T87" s="25">
        <v>0</v>
      </c>
      <c r="U87" s="26">
        <f t="shared" si="23"/>
        <v>5.8307</v>
      </c>
      <c r="V87" s="25">
        <v>0</v>
      </c>
      <c r="W87" s="24">
        <f>1.05*16</f>
        <v>16.8</v>
      </c>
      <c r="X87" s="6">
        <f t="shared" si="25"/>
        <v>10.9693</v>
      </c>
      <c r="Y87" s="26">
        <f t="shared" si="27"/>
        <v>10.9693</v>
      </c>
      <c r="Z87" s="12" t="s">
        <v>21</v>
      </c>
    </row>
    <row r="88" spans="1:26" s="1" customFormat="1" ht="22.5">
      <c r="A88" s="18">
        <v>53</v>
      </c>
      <c r="B88" s="52" t="s">
        <v>86</v>
      </c>
      <c r="C88" s="50" t="s">
        <v>57</v>
      </c>
      <c r="D88" s="61">
        <v>36.96</v>
      </c>
      <c r="E88" s="52">
        <v>0</v>
      </c>
      <c r="F88" s="52">
        <v>0</v>
      </c>
      <c r="G88" s="51">
        <f t="shared" si="22"/>
        <v>36.96</v>
      </c>
      <c r="H88" s="52">
        <v>0</v>
      </c>
      <c r="I88" s="53">
        <f>1.05*57</f>
        <v>59.85</v>
      </c>
      <c r="J88" s="2">
        <f t="shared" si="24"/>
        <v>22.89</v>
      </c>
      <c r="K88" s="51">
        <f t="shared" si="26"/>
        <v>22.89</v>
      </c>
      <c r="L88" s="17" t="s">
        <v>21</v>
      </c>
      <c r="M88" s="16"/>
      <c r="N88" s="12">
        <v>53</v>
      </c>
      <c r="O88" s="25" t="s">
        <v>86</v>
      </c>
      <c r="P88" s="28" t="s">
        <v>57</v>
      </c>
      <c r="Q88" s="62">
        <f>6.452+1.193+3.232+0.955+3.396+0.523+0.492+1.623+0.715+0.019+1.0633+0.3451-1.4687+0.1032+0.1989</f>
        <v>18.8418</v>
      </c>
      <c r="R88" s="44">
        <f t="shared" si="21"/>
        <v>55.8018</v>
      </c>
      <c r="S88" s="25">
        <v>0</v>
      </c>
      <c r="T88" s="25">
        <v>0</v>
      </c>
      <c r="U88" s="26">
        <f t="shared" si="23"/>
        <v>55.8018</v>
      </c>
      <c r="V88" s="25">
        <v>0</v>
      </c>
      <c r="W88" s="24">
        <f>1.05*57</f>
        <v>59.85</v>
      </c>
      <c r="X88" s="6">
        <f t="shared" si="25"/>
        <v>4.048200000000001</v>
      </c>
      <c r="Y88" s="26">
        <f t="shared" si="27"/>
        <v>4.048200000000001</v>
      </c>
      <c r="Z88" s="12" t="s">
        <v>21</v>
      </c>
    </row>
    <row r="89" spans="1:26" s="1" customFormat="1" ht="27.75" customHeight="1">
      <c r="A89" s="18">
        <v>54</v>
      </c>
      <c r="B89" s="25" t="s">
        <v>87</v>
      </c>
      <c r="C89" s="50" t="s">
        <v>56</v>
      </c>
      <c r="D89" s="45">
        <v>46.85</v>
      </c>
      <c r="E89" s="25">
        <v>0</v>
      </c>
      <c r="F89" s="25">
        <v>0</v>
      </c>
      <c r="G89" s="26">
        <f t="shared" si="22"/>
        <v>46.85</v>
      </c>
      <c r="H89" s="25">
        <v>0</v>
      </c>
      <c r="I89" s="24">
        <f>1.05*71.5</f>
        <v>75.075</v>
      </c>
      <c r="J89" s="6">
        <f t="shared" si="24"/>
        <v>28.225</v>
      </c>
      <c r="K89" s="26">
        <f t="shared" si="26"/>
        <v>28.225</v>
      </c>
      <c r="L89" s="17" t="s">
        <v>21</v>
      </c>
      <c r="M89" s="16"/>
      <c r="N89" s="12">
        <v>54</v>
      </c>
      <c r="O89" s="25" t="s">
        <v>87</v>
      </c>
      <c r="P89" s="28" t="s">
        <v>56</v>
      </c>
      <c r="Q89" s="62">
        <v>0.178</v>
      </c>
      <c r="R89" s="44">
        <f t="shared" si="21"/>
        <v>47.028</v>
      </c>
      <c r="S89" s="25">
        <v>0</v>
      </c>
      <c r="T89" s="25">
        <v>0</v>
      </c>
      <c r="U89" s="26">
        <f t="shared" si="23"/>
        <v>47.028</v>
      </c>
      <c r="V89" s="25">
        <v>0</v>
      </c>
      <c r="W89" s="24">
        <f>1.05*71.5</f>
        <v>75.075</v>
      </c>
      <c r="X89" s="6">
        <f t="shared" si="25"/>
        <v>28.047000000000004</v>
      </c>
      <c r="Y89" s="26">
        <f t="shared" si="27"/>
        <v>28.047000000000004</v>
      </c>
      <c r="Z89" s="12" t="s">
        <v>21</v>
      </c>
    </row>
    <row r="90" spans="1:26" s="1" customFormat="1" ht="22.5">
      <c r="A90" s="18">
        <v>55</v>
      </c>
      <c r="B90" s="25" t="s">
        <v>88</v>
      </c>
      <c r="C90" s="50" t="s">
        <v>23</v>
      </c>
      <c r="D90" s="45">
        <v>4.9</v>
      </c>
      <c r="E90" s="25">
        <v>0</v>
      </c>
      <c r="F90" s="25">
        <v>0</v>
      </c>
      <c r="G90" s="26">
        <f t="shared" si="22"/>
        <v>4.9</v>
      </c>
      <c r="H90" s="25">
        <v>0</v>
      </c>
      <c r="I90" s="24">
        <f>1.05*10</f>
        <v>10.5</v>
      </c>
      <c r="J90" s="6">
        <f t="shared" si="24"/>
        <v>5.6</v>
      </c>
      <c r="K90" s="26">
        <f t="shared" si="26"/>
        <v>5.6</v>
      </c>
      <c r="L90" s="17" t="s">
        <v>21</v>
      </c>
      <c r="M90" s="16"/>
      <c r="N90" s="12">
        <v>55</v>
      </c>
      <c r="O90" s="25" t="s">
        <v>88</v>
      </c>
      <c r="P90" s="28" t="s">
        <v>23</v>
      </c>
      <c r="Q90" s="62">
        <f>0.149+0.005+0.014+0.001+0.021+0.015+0.005+0.123+0.022+0.053+0.005+0.129+0.0296+0.0183-0.0887+0.0441+0.0054</f>
        <v>0.5507</v>
      </c>
      <c r="R90" s="44">
        <f t="shared" si="21"/>
        <v>5.4507</v>
      </c>
      <c r="S90" s="25">
        <v>0</v>
      </c>
      <c r="T90" s="25">
        <v>0</v>
      </c>
      <c r="U90" s="26">
        <f t="shared" si="23"/>
        <v>5.4507</v>
      </c>
      <c r="V90" s="25">
        <v>0</v>
      </c>
      <c r="W90" s="24">
        <f>1.05*10</f>
        <v>10.5</v>
      </c>
      <c r="X90" s="6">
        <f t="shared" si="25"/>
        <v>5.0493</v>
      </c>
      <c r="Y90" s="26">
        <f t="shared" si="27"/>
        <v>5.0493</v>
      </c>
      <c r="Z90" s="12" t="s">
        <v>21</v>
      </c>
    </row>
    <row r="91" spans="1:26" s="1" customFormat="1" ht="22.5" customHeight="1">
      <c r="A91" s="18">
        <v>56</v>
      </c>
      <c r="B91" s="25" t="s">
        <v>89</v>
      </c>
      <c r="C91" s="50" t="s">
        <v>32</v>
      </c>
      <c r="D91" s="45">
        <v>14.38</v>
      </c>
      <c r="E91" s="25">
        <v>0</v>
      </c>
      <c r="F91" s="25">
        <v>0</v>
      </c>
      <c r="G91" s="26">
        <f t="shared" si="22"/>
        <v>14.38</v>
      </c>
      <c r="H91" s="25">
        <v>0</v>
      </c>
      <c r="I91" s="24">
        <f>1.05*20</f>
        <v>21</v>
      </c>
      <c r="J91" s="6">
        <f t="shared" si="24"/>
        <v>6.619999999999999</v>
      </c>
      <c r="K91" s="26">
        <f t="shared" si="26"/>
        <v>6.619999999999999</v>
      </c>
      <c r="L91" s="17" t="s">
        <v>21</v>
      </c>
      <c r="M91" s="16"/>
      <c r="N91" s="12">
        <v>56</v>
      </c>
      <c r="O91" s="25" t="s">
        <v>89</v>
      </c>
      <c r="P91" s="28" t="s">
        <v>32</v>
      </c>
      <c r="Q91" s="62">
        <f>0.1742</f>
        <v>0.1742</v>
      </c>
      <c r="R91" s="44">
        <f t="shared" si="21"/>
        <v>14.554200000000002</v>
      </c>
      <c r="S91" s="25">
        <v>0</v>
      </c>
      <c r="T91" s="25">
        <v>0</v>
      </c>
      <c r="U91" s="26">
        <f t="shared" si="23"/>
        <v>14.554200000000002</v>
      </c>
      <c r="V91" s="25">
        <v>0</v>
      </c>
      <c r="W91" s="24">
        <f>1.05*20</f>
        <v>21</v>
      </c>
      <c r="X91" s="6">
        <f t="shared" si="25"/>
        <v>6.445799999999998</v>
      </c>
      <c r="Y91" s="26">
        <f t="shared" si="27"/>
        <v>6.445799999999998</v>
      </c>
      <c r="Z91" s="12" t="s">
        <v>21</v>
      </c>
    </row>
    <row r="92" spans="1:26" s="1" customFormat="1" ht="21.75" customHeight="1">
      <c r="A92" s="129">
        <v>57</v>
      </c>
      <c r="B92" s="25" t="s">
        <v>91</v>
      </c>
      <c r="C92" s="68" t="s">
        <v>27</v>
      </c>
      <c r="D92" s="47">
        <f>D93+D94</f>
        <v>10.488000000000001</v>
      </c>
      <c r="E92" s="25">
        <f>E93+E94</f>
        <v>4.8</v>
      </c>
      <c r="F92" s="25" t="s">
        <v>55</v>
      </c>
      <c r="G92" s="26">
        <f t="shared" si="22"/>
        <v>5.6880000000000015</v>
      </c>
      <c r="H92" s="25">
        <v>0</v>
      </c>
      <c r="I92" s="24">
        <f>1.05*16</f>
        <v>16.8</v>
      </c>
      <c r="J92" s="5">
        <f t="shared" si="24"/>
        <v>11.111999999999998</v>
      </c>
      <c r="K92" s="86">
        <f>MIN(J92:J94)</f>
        <v>10.032</v>
      </c>
      <c r="L92" s="89" t="s">
        <v>21</v>
      </c>
      <c r="M92" s="16"/>
      <c r="N92" s="89">
        <v>57</v>
      </c>
      <c r="O92" s="25" t="s">
        <v>91</v>
      </c>
      <c r="P92" s="28" t="s">
        <v>27</v>
      </c>
      <c r="Q92" s="62">
        <f>Q93+Q94</f>
        <v>0.17270000000000002</v>
      </c>
      <c r="R92" s="44">
        <f>R93+R94</f>
        <v>10.6607</v>
      </c>
      <c r="S92" s="25">
        <f>S93+S94</f>
        <v>4.8</v>
      </c>
      <c r="T92" s="25" t="s">
        <v>55</v>
      </c>
      <c r="U92" s="26">
        <f t="shared" si="23"/>
        <v>5.8607000000000005</v>
      </c>
      <c r="V92" s="25">
        <v>0</v>
      </c>
      <c r="W92" s="24">
        <f>1.05*16</f>
        <v>16.8</v>
      </c>
      <c r="X92" s="5">
        <f t="shared" si="25"/>
        <v>10.9393</v>
      </c>
      <c r="Y92" s="86">
        <f>MIN(X92:X94)</f>
        <v>9.859300000000001</v>
      </c>
      <c r="Z92" s="89" t="s">
        <v>21</v>
      </c>
    </row>
    <row r="93" spans="1:26" s="1" customFormat="1" ht="20.25" customHeight="1">
      <c r="A93" s="130"/>
      <c r="B93" s="33" t="s">
        <v>54</v>
      </c>
      <c r="C93" s="50" t="s">
        <v>27</v>
      </c>
      <c r="D93" s="45">
        <f>1.399+2.321</f>
        <v>3.72</v>
      </c>
      <c r="E93" s="25">
        <v>4.8</v>
      </c>
      <c r="F93" s="25" t="s">
        <v>55</v>
      </c>
      <c r="G93" s="26">
        <f t="shared" si="22"/>
        <v>-1.0799999999999996</v>
      </c>
      <c r="H93" s="25">
        <v>0</v>
      </c>
      <c r="I93" s="24">
        <f>1.05*16</f>
        <v>16.8</v>
      </c>
      <c r="J93" s="5">
        <f>I93-D93</f>
        <v>13.08</v>
      </c>
      <c r="K93" s="90"/>
      <c r="L93" s="96"/>
      <c r="M93" s="16"/>
      <c r="N93" s="96"/>
      <c r="O93" s="27" t="s">
        <v>54</v>
      </c>
      <c r="P93" s="28" t="s">
        <v>27</v>
      </c>
      <c r="Q93" s="62"/>
      <c r="R93" s="44">
        <f t="shared" si="21"/>
        <v>3.72</v>
      </c>
      <c r="S93" s="25">
        <v>4.8</v>
      </c>
      <c r="T93" s="25" t="s">
        <v>55</v>
      </c>
      <c r="U93" s="26">
        <f t="shared" si="23"/>
        <v>-1.0799999999999996</v>
      </c>
      <c r="V93" s="25">
        <v>0</v>
      </c>
      <c r="W93" s="24">
        <f>1.05*16</f>
        <v>16.8</v>
      </c>
      <c r="X93" s="5">
        <f>W93-R93</f>
        <v>13.08</v>
      </c>
      <c r="Y93" s="87"/>
      <c r="Z93" s="96"/>
    </row>
    <row r="94" spans="1:26" s="1" customFormat="1" ht="20.25" customHeight="1">
      <c r="A94" s="131"/>
      <c r="B94" s="27" t="s">
        <v>41</v>
      </c>
      <c r="C94" s="50" t="s">
        <v>27</v>
      </c>
      <c r="D94" s="45">
        <f>3.422+3.346</f>
        <v>6.768000000000001</v>
      </c>
      <c r="E94" s="25">
        <v>0</v>
      </c>
      <c r="F94" s="25">
        <v>0</v>
      </c>
      <c r="G94" s="26">
        <f t="shared" si="22"/>
        <v>6.768000000000001</v>
      </c>
      <c r="H94" s="25">
        <v>0</v>
      </c>
      <c r="I94" s="24">
        <f>1.05*16</f>
        <v>16.8</v>
      </c>
      <c r="J94" s="5">
        <f aca="true" t="shared" si="28" ref="J94:J99">I94-G94-H94</f>
        <v>10.032</v>
      </c>
      <c r="K94" s="91"/>
      <c r="L94" s="97"/>
      <c r="M94" s="16"/>
      <c r="N94" s="97"/>
      <c r="O94" s="27" t="s">
        <v>41</v>
      </c>
      <c r="P94" s="28" t="s">
        <v>27</v>
      </c>
      <c r="Q94" s="62">
        <f>0.16+0.006+0.005+0.009+0.0223-0.0296</f>
        <v>0.17270000000000002</v>
      </c>
      <c r="R94" s="44">
        <f t="shared" si="21"/>
        <v>6.9407000000000005</v>
      </c>
      <c r="S94" s="25">
        <v>0</v>
      </c>
      <c r="T94" s="25">
        <v>0</v>
      </c>
      <c r="U94" s="26">
        <f t="shared" si="23"/>
        <v>6.9407000000000005</v>
      </c>
      <c r="V94" s="25">
        <v>0</v>
      </c>
      <c r="W94" s="24">
        <f>1.05*16</f>
        <v>16.8</v>
      </c>
      <c r="X94" s="5">
        <f aca="true" t="shared" si="29" ref="X94:X99">W94-U94-V94</f>
        <v>9.859300000000001</v>
      </c>
      <c r="Y94" s="88"/>
      <c r="Z94" s="97"/>
    </row>
    <row r="95" spans="1:26" s="1" customFormat="1" ht="22.5">
      <c r="A95" s="22">
        <v>58</v>
      </c>
      <c r="B95" s="31" t="s">
        <v>93</v>
      </c>
      <c r="C95" s="32" t="s">
        <v>46</v>
      </c>
      <c r="D95" s="46">
        <v>19.43</v>
      </c>
      <c r="E95" s="31">
        <v>0</v>
      </c>
      <c r="F95" s="31">
        <v>0</v>
      </c>
      <c r="G95" s="29">
        <f t="shared" si="22"/>
        <v>19.43</v>
      </c>
      <c r="H95" s="31">
        <v>0</v>
      </c>
      <c r="I95" s="30">
        <f>1.05*16</f>
        <v>16.8</v>
      </c>
      <c r="J95" s="4">
        <f t="shared" si="28"/>
        <v>-2.629999999999999</v>
      </c>
      <c r="K95" s="46">
        <f>J95</f>
        <v>-2.629999999999999</v>
      </c>
      <c r="L95" s="19" t="s">
        <v>22</v>
      </c>
      <c r="M95" s="16"/>
      <c r="N95" s="22">
        <v>58</v>
      </c>
      <c r="O95" s="31" t="s">
        <v>93</v>
      </c>
      <c r="P95" s="32" t="s">
        <v>46</v>
      </c>
      <c r="Q95" s="64">
        <v>0.238</v>
      </c>
      <c r="R95" s="48">
        <f t="shared" si="21"/>
        <v>19.668</v>
      </c>
      <c r="S95" s="31">
        <v>0</v>
      </c>
      <c r="T95" s="31">
        <v>0</v>
      </c>
      <c r="U95" s="29">
        <f t="shared" si="23"/>
        <v>19.668</v>
      </c>
      <c r="V95" s="31">
        <v>0</v>
      </c>
      <c r="W95" s="30">
        <f>1.05*16</f>
        <v>16.8</v>
      </c>
      <c r="X95" s="4">
        <f t="shared" si="29"/>
        <v>-2.8679999999999986</v>
      </c>
      <c r="Y95" s="46">
        <f>X95</f>
        <v>-2.8679999999999986</v>
      </c>
      <c r="Z95" s="22" t="s">
        <v>22</v>
      </c>
    </row>
    <row r="96" spans="1:26" s="1" customFormat="1" ht="22.5">
      <c r="A96" s="18">
        <v>59</v>
      </c>
      <c r="B96" s="18" t="s">
        <v>147</v>
      </c>
      <c r="C96" s="54" t="s">
        <v>47</v>
      </c>
      <c r="D96" s="44">
        <v>1.497</v>
      </c>
      <c r="E96" s="25">
        <v>0</v>
      </c>
      <c r="F96" s="25">
        <v>0</v>
      </c>
      <c r="G96" s="26">
        <f t="shared" si="22"/>
        <v>1.497</v>
      </c>
      <c r="H96" s="25">
        <v>0</v>
      </c>
      <c r="I96" s="24">
        <f>1.05*2.5</f>
        <v>2.625</v>
      </c>
      <c r="J96" s="6">
        <f t="shared" si="28"/>
        <v>1.128</v>
      </c>
      <c r="K96" s="26">
        <f>J96</f>
        <v>1.128</v>
      </c>
      <c r="L96" s="17" t="s">
        <v>21</v>
      </c>
      <c r="M96" s="16"/>
      <c r="N96" s="12">
        <v>59</v>
      </c>
      <c r="O96" s="12" t="s">
        <v>147</v>
      </c>
      <c r="P96" s="15" t="s">
        <v>47</v>
      </c>
      <c r="Q96" s="63">
        <f>0.022+0.0226+0.0054-0.0328+0.0054+0.0032</f>
        <v>0.025800000000000003</v>
      </c>
      <c r="R96" s="44">
        <f t="shared" si="21"/>
        <v>1.5228000000000002</v>
      </c>
      <c r="S96" s="25">
        <v>0</v>
      </c>
      <c r="T96" s="25">
        <v>0</v>
      </c>
      <c r="U96" s="26">
        <f t="shared" si="23"/>
        <v>1.5228000000000002</v>
      </c>
      <c r="V96" s="25">
        <v>0</v>
      </c>
      <c r="W96" s="24">
        <f>1.05*2.5</f>
        <v>2.625</v>
      </c>
      <c r="X96" s="6">
        <f t="shared" si="29"/>
        <v>1.1021999999999998</v>
      </c>
      <c r="Y96" s="26">
        <f>X96</f>
        <v>1.1021999999999998</v>
      </c>
      <c r="Z96" s="12" t="s">
        <v>21</v>
      </c>
    </row>
    <row r="97" spans="1:26" s="1" customFormat="1" ht="22.5">
      <c r="A97" s="18">
        <v>60</v>
      </c>
      <c r="B97" s="12" t="s">
        <v>148</v>
      </c>
      <c r="C97" s="54" t="s">
        <v>46</v>
      </c>
      <c r="D97" s="44">
        <v>4.469</v>
      </c>
      <c r="E97" s="25">
        <v>0</v>
      </c>
      <c r="F97" s="25">
        <v>0</v>
      </c>
      <c r="G97" s="26">
        <f t="shared" si="22"/>
        <v>4.469</v>
      </c>
      <c r="H97" s="25">
        <v>0</v>
      </c>
      <c r="I97" s="24">
        <f>1.05*16</f>
        <v>16.8</v>
      </c>
      <c r="J97" s="6">
        <f t="shared" si="28"/>
        <v>12.331</v>
      </c>
      <c r="K97" s="26">
        <f>J97</f>
        <v>12.331</v>
      </c>
      <c r="L97" s="17" t="s">
        <v>21</v>
      </c>
      <c r="M97" s="16"/>
      <c r="N97" s="12">
        <v>60</v>
      </c>
      <c r="O97" s="12" t="s">
        <v>148</v>
      </c>
      <c r="P97" s="15" t="s">
        <v>46</v>
      </c>
      <c r="Q97" s="63">
        <v>0</v>
      </c>
      <c r="R97" s="44">
        <f t="shared" si="21"/>
        <v>4.469</v>
      </c>
      <c r="S97" s="25">
        <v>0</v>
      </c>
      <c r="T97" s="25">
        <v>0</v>
      </c>
      <c r="U97" s="26">
        <f t="shared" si="23"/>
        <v>4.469</v>
      </c>
      <c r="V97" s="25">
        <v>0</v>
      </c>
      <c r="W97" s="24">
        <f>1.05*16</f>
        <v>16.8</v>
      </c>
      <c r="X97" s="6">
        <f t="shared" si="29"/>
        <v>12.331</v>
      </c>
      <c r="Y97" s="26">
        <f>X97</f>
        <v>12.331</v>
      </c>
      <c r="Z97" s="12" t="s">
        <v>21</v>
      </c>
    </row>
    <row r="98" spans="1:26" s="1" customFormat="1" ht="22.5">
      <c r="A98" s="18">
        <v>61</v>
      </c>
      <c r="B98" s="18" t="s">
        <v>149</v>
      </c>
      <c r="C98" s="54" t="s">
        <v>38</v>
      </c>
      <c r="D98" s="44">
        <v>1.239</v>
      </c>
      <c r="E98" s="25">
        <v>0</v>
      </c>
      <c r="F98" s="25">
        <v>0</v>
      </c>
      <c r="G98" s="26">
        <f t="shared" si="22"/>
        <v>1.239</v>
      </c>
      <c r="H98" s="25">
        <v>0</v>
      </c>
      <c r="I98" s="24">
        <f>1.05*4</f>
        <v>4.2</v>
      </c>
      <c r="J98" s="6">
        <f t="shared" si="28"/>
        <v>2.9610000000000003</v>
      </c>
      <c r="K98" s="26">
        <f>J98</f>
        <v>2.9610000000000003</v>
      </c>
      <c r="L98" s="17" t="s">
        <v>21</v>
      </c>
      <c r="M98" s="16"/>
      <c r="N98" s="12">
        <v>61</v>
      </c>
      <c r="O98" s="12" t="s">
        <v>149</v>
      </c>
      <c r="P98" s="15" t="s">
        <v>38</v>
      </c>
      <c r="Q98" s="63">
        <f>0.092+0.015+0.018+0.002+0.004+0.0161-0.0548+0.0054+0.0032</f>
        <v>0.1009</v>
      </c>
      <c r="R98" s="44">
        <f t="shared" si="21"/>
        <v>1.3399</v>
      </c>
      <c r="S98" s="25">
        <v>0</v>
      </c>
      <c r="T98" s="25">
        <v>0</v>
      </c>
      <c r="U98" s="26">
        <f t="shared" si="23"/>
        <v>1.3399</v>
      </c>
      <c r="V98" s="25">
        <v>0</v>
      </c>
      <c r="W98" s="24">
        <f>1.05*4</f>
        <v>4.2</v>
      </c>
      <c r="X98" s="6">
        <f t="shared" si="29"/>
        <v>2.8601</v>
      </c>
      <c r="Y98" s="26">
        <f>X98</f>
        <v>2.8601</v>
      </c>
      <c r="Z98" s="12" t="s">
        <v>21</v>
      </c>
    </row>
    <row r="99" spans="1:26" s="1" customFormat="1" ht="22.5">
      <c r="A99" s="129">
        <v>62</v>
      </c>
      <c r="B99" s="18" t="s">
        <v>150</v>
      </c>
      <c r="C99" s="54" t="s">
        <v>43</v>
      </c>
      <c r="D99" s="44">
        <f>D100+D101</f>
        <v>1.873</v>
      </c>
      <c r="E99" s="25">
        <f>E100+E101</f>
        <v>0.54</v>
      </c>
      <c r="F99" s="25" t="str">
        <f>F100</f>
        <v>3 час</v>
      </c>
      <c r="G99" s="26">
        <f t="shared" si="22"/>
        <v>1.333</v>
      </c>
      <c r="H99" s="25">
        <v>0</v>
      </c>
      <c r="I99" s="24">
        <f>1.05*6.3</f>
        <v>6.615</v>
      </c>
      <c r="J99" s="5">
        <f t="shared" si="28"/>
        <v>5.282</v>
      </c>
      <c r="K99" s="86">
        <f>MIN(J99:J101)</f>
        <v>4.984</v>
      </c>
      <c r="L99" s="89" t="s">
        <v>21</v>
      </c>
      <c r="M99" s="16"/>
      <c r="N99" s="89">
        <v>62</v>
      </c>
      <c r="O99" s="12" t="s">
        <v>150</v>
      </c>
      <c r="P99" s="15" t="s">
        <v>43</v>
      </c>
      <c r="Q99" s="63">
        <f>Q100+Q101</f>
        <v>0.0161</v>
      </c>
      <c r="R99" s="44">
        <f>R100+R101</f>
        <v>1.8891</v>
      </c>
      <c r="S99" s="25">
        <f>S100+S101</f>
        <v>0.54</v>
      </c>
      <c r="T99" s="25" t="str">
        <f>T100</f>
        <v>3 час</v>
      </c>
      <c r="U99" s="26">
        <f t="shared" si="23"/>
        <v>1.3491</v>
      </c>
      <c r="V99" s="25">
        <v>0</v>
      </c>
      <c r="W99" s="24">
        <f>1.05*6.3</f>
        <v>6.615</v>
      </c>
      <c r="X99" s="5">
        <f t="shared" si="29"/>
        <v>5.2659</v>
      </c>
      <c r="Y99" s="86">
        <f>MIN(X99:X101)</f>
        <v>4.9679</v>
      </c>
      <c r="Z99" s="89" t="s">
        <v>21</v>
      </c>
    </row>
    <row r="100" spans="1:26" s="1" customFormat="1" ht="24.75" customHeight="1">
      <c r="A100" s="130"/>
      <c r="B100" s="27" t="s">
        <v>54</v>
      </c>
      <c r="C100" s="54" t="s">
        <v>43</v>
      </c>
      <c r="D100" s="45">
        <f>0.242</f>
        <v>0.242</v>
      </c>
      <c r="E100" s="25">
        <v>0.54</v>
      </c>
      <c r="F100" s="25" t="s">
        <v>53</v>
      </c>
      <c r="G100" s="26">
        <v>0</v>
      </c>
      <c r="H100" s="25">
        <v>0</v>
      </c>
      <c r="I100" s="24">
        <f>1.05*6.3</f>
        <v>6.615</v>
      </c>
      <c r="J100" s="5">
        <f>I100-D100</f>
        <v>6.373</v>
      </c>
      <c r="K100" s="90"/>
      <c r="L100" s="90"/>
      <c r="M100" s="16"/>
      <c r="N100" s="96"/>
      <c r="O100" s="27" t="s">
        <v>54</v>
      </c>
      <c r="P100" s="15" t="s">
        <v>43</v>
      </c>
      <c r="Q100" s="63"/>
      <c r="R100" s="44">
        <f t="shared" si="21"/>
        <v>0.242</v>
      </c>
      <c r="S100" s="25">
        <v>0.54</v>
      </c>
      <c r="T100" s="25" t="s">
        <v>53</v>
      </c>
      <c r="U100" s="26">
        <v>0</v>
      </c>
      <c r="V100" s="25">
        <v>0</v>
      </c>
      <c r="W100" s="24">
        <f>1.05*6.3</f>
        <v>6.615</v>
      </c>
      <c r="X100" s="5">
        <f>W100-R100</f>
        <v>6.373</v>
      </c>
      <c r="Y100" s="87"/>
      <c r="Z100" s="90"/>
    </row>
    <row r="101" spans="1:26" s="1" customFormat="1" ht="25.5" customHeight="1">
      <c r="A101" s="131"/>
      <c r="B101" s="27" t="s">
        <v>41</v>
      </c>
      <c r="C101" s="54" t="s">
        <v>43</v>
      </c>
      <c r="D101" s="45">
        <f>1.442+0.189</f>
        <v>1.631</v>
      </c>
      <c r="E101" s="25">
        <v>0</v>
      </c>
      <c r="F101" s="25">
        <v>0</v>
      </c>
      <c r="G101" s="26">
        <f t="shared" si="22"/>
        <v>1.631</v>
      </c>
      <c r="H101" s="25">
        <v>0</v>
      </c>
      <c r="I101" s="24">
        <f>1.05*6.3</f>
        <v>6.615</v>
      </c>
      <c r="J101" s="5">
        <f>I101-G101-H101</f>
        <v>4.984</v>
      </c>
      <c r="K101" s="91"/>
      <c r="L101" s="91"/>
      <c r="M101" s="16"/>
      <c r="N101" s="97"/>
      <c r="O101" s="27" t="s">
        <v>41</v>
      </c>
      <c r="P101" s="15" t="s">
        <v>43</v>
      </c>
      <c r="Q101" s="63">
        <v>0.0161</v>
      </c>
      <c r="R101" s="44">
        <f t="shared" si="21"/>
        <v>1.6471</v>
      </c>
      <c r="S101" s="25">
        <v>0</v>
      </c>
      <c r="T101" s="25">
        <v>0</v>
      </c>
      <c r="U101" s="26">
        <f t="shared" si="23"/>
        <v>1.6471</v>
      </c>
      <c r="V101" s="25">
        <v>0</v>
      </c>
      <c r="W101" s="24">
        <f>1.05*6.3</f>
        <v>6.615</v>
      </c>
      <c r="X101" s="5">
        <f>W101-U101-V101</f>
        <v>4.9679</v>
      </c>
      <c r="Y101" s="88"/>
      <c r="Z101" s="91"/>
    </row>
    <row r="102" spans="1:26" s="1" customFormat="1" ht="22.5">
      <c r="A102" s="18">
        <v>63</v>
      </c>
      <c r="B102" s="12" t="s">
        <v>151</v>
      </c>
      <c r="C102" s="54" t="s">
        <v>34</v>
      </c>
      <c r="D102" s="44">
        <v>31.467</v>
      </c>
      <c r="E102" s="25">
        <v>0</v>
      </c>
      <c r="F102" s="25">
        <v>0</v>
      </c>
      <c r="G102" s="26">
        <f t="shared" si="22"/>
        <v>31.467</v>
      </c>
      <c r="H102" s="25">
        <v>0</v>
      </c>
      <c r="I102" s="24">
        <f>1.05*40</f>
        <v>42</v>
      </c>
      <c r="J102" s="6">
        <f>I102-G102-H102</f>
        <v>10.533000000000001</v>
      </c>
      <c r="K102" s="26">
        <f>J102</f>
        <v>10.533000000000001</v>
      </c>
      <c r="L102" s="17" t="s">
        <v>21</v>
      </c>
      <c r="M102" s="16"/>
      <c r="N102" s="12">
        <v>63</v>
      </c>
      <c r="O102" s="12" t="s">
        <v>151</v>
      </c>
      <c r="P102" s="15" t="s">
        <v>34</v>
      </c>
      <c r="Q102" s="63">
        <f>0.029+0.003+0.004+0.055-0.0234</f>
        <v>0.0676</v>
      </c>
      <c r="R102" s="44">
        <f t="shared" si="21"/>
        <v>31.534599999999998</v>
      </c>
      <c r="S102" s="25">
        <v>0</v>
      </c>
      <c r="T102" s="25">
        <v>0</v>
      </c>
      <c r="U102" s="26">
        <f t="shared" si="23"/>
        <v>31.534599999999998</v>
      </c>
      <c r="V102" s="25">
        <v>0</v>
      </c>
      <c r="W102" s="24">
        <f>1.05*40</f>
        <v>42</v>
      </c>
      <c r="X102" s="6">
        <f>W102-U102-V102</f>
        <v>10.465400000000002</v>
      </c>
      <c r="Y102" s="26">
        <f>X102</f>
        <v>10.465400000000002</v>
      </c>
      <c r="Z102" s="12" t="s">
        <v>21</v>
      </c>
    </row>
    <row r="103" spans="1:26" s="1" customFormat="1" ht="22.5">
      <c r="A103" s="18">
        <v>64</v>
      </c>
      <c r="B103" s="18" t="s">
        <v>155</v>
      </c>
      <c r="C103" s="54" t="s">
        <v>43</v>
      </c>
      <c r="D103" s="44">
        <v>2.493</v>
      </c>
      <c r="E103" s="25">
        <v>0</v>
      </c>
      <c r="F103" s="25">
        <v>0</v>
      </c>
      <c r="G103" s="26">
        <f aca="true" t="shared" si="30" ref="G103:G130">D103-E103</f>
        <v>2.493</v>
      </c>
      <c r="H103" s="25">
        <v>0</v>
      </c>
      <c r="I103" s="24">
        <f>1.05*6.3</f>
        <v>6.615</v>
      </c>
      <c r="J103" s="6">
        <f>I103-G103-H103</f>
        <v>4.122</v>
      </c>
      <c r="K103" s="26">
        <f>J103</f>
        <v>4.122</v>
      </c>
      <c r="L103" s="17" t="s">
        <v>21</v>
      </c>
      <c r="M103" s="16"/>
      <c r="N103" s="12">
        <v>64</v>
      </c>
      <c r="O103" s="12" t="s">
        <v>155</v>
      </c>
      <c r="P103" s="15" t="s">
        <v>43</v>
      </c>
      <c r="Q103" s="63">
        <f>0.131+0.012+0.009+0.011+0.003+0.005+0.015+0.002+0.0323+0.0661+0.0075+0.0054</f>
        <v>0.29930000000000007</v>
      </c>
      <c r="R103" s="44">
        <f t="shared" si="21"/>
        <v>2.7923</v>
      </c>
      <c r="S103" s="25">
        <v>0</v>
      </c>
      <c r="T103" s="25">
        <v>0</v>
      </c>
      <c r="U103" s="26">
        <f aca="true" t="shared" si="31" ref="U103:U130">R103-S103</f>
        <v>2.7923</v>
      </c>
      <c r="V103" s="25">
        <v>0</v>
      </c>
      <c r="W103" s="24">
        <f>1.05*6.3</f>
        <v>6.615</v>
      </c>
      <c r="X103" s="6">
        <f>W103-U103-V103</f>
        <v>3.8227</v>
      </c>
      <c r="Y103" s="26">
        <f>X103</f>
        <v>3.8227</v>
      </c>
      <c r="Z103" s="12" t="s">
        <v>21</v>
      </c>
    </row>
    <row r="104" spans="1:26" s="73" customFormat="1" ht="22.5">
      <c r="A104" s="31">
        <v>65</v>
      </c>
      <c r="B104" s="31" t="s">
        <v>156</v>
      </c>
      <c r="C104" s="32" t="s">
        <v>23</v>
      </c>
      <c r="D104" s="46">
        <v>10.5</v>
      </c>
      <c r="E104" s="31">
        <v>0</v>
      </c>
      <c r="F104" s="31">
        <v>0</v>
      </c>
      <c r="G104" s="29">
        <f t="shared" si="30"/>
        <v>10.5</v>
      </c>
      <c r="H104" s="31">
        <v>0</v>
      </c>
      <c r="I104" s="30">
        <f>1.05*10</f>
        <v>10.5</v>
      </c>
      <c r="J104" s="4">
        <f>I104-G104-H104</f>
        <v>0</v>
      </c>
      <c r="K104" s="46">
        <f>J104</f>
        <v>0</v>
      </c>
      <c r="L104" s="31" t="s">
        <v>22</v>
      </c>
      <c r="M104" s="71"/>
      <c r="N104" s="31">
        <v>65</v>
      </c>
      <c r="O104" s="31" t="s">
        <v>156</v>
      </c>
      <c r="P104" s="32" t="s">
        <v>23</v>
      </c>
      <c r="Q104" s="64">
        <f>0.016+0+0.011+0.011+0.005+0.011+0.004+0.0054-0.0048+0.0161+0.0108</f>
        <v>0.0855</v>
      </c>
      <c r="R104" s="46">
        <f t="shared" si="21"/>
        <v>10.5855</v>
      </c>
      <c r="S104" s="31">
        <v>0</v>
      </c>
      <c r="T104" s="31">
        <v>0</v>
      </c>
      <c r="U104" s="29">
        <f t="shared" si="31"/>
        <v>10.5855</v>
      </c>
      <c r="V104" s="31">
        <v>0</v>
      </c>
      <c r="W104" s="30">
        <f>1.05*10</f>
        <v>10.5</v>
      </c>
      <c r="X104" s="4">
        <f>W104-U104-V104</f>
        <v>-0.08549999999999969</v>
      </c>
      <c r="Y104" s="46">
        <f>X104</f>
        <v>-0.08549999999999969</v>
      </c>
      <c r="Z104" s="31" t="s">
        <v>22</v>
      </c>
    </row>
    <row r="105" spans="1:26" s="1" customFormat="1" ht="22.5">
      <c r="A105" s="129">
        <v>66</v>
      </c>
      <c r="B105" s="12" t="s">
        <v>157</v>
      </c>
      <c r="C105" s="54" t="s">
        <v>27</v>
      </c>
      <c r="D105" s="44">
        <f>D106+D107</f>
        <v>10.535</v>
      </c>
      <c r="E105" s="25">
        <f>E106+E107</f>
        <v>1.64</v>
      </c>
      <c r="F105" s="25" t="str">
        <f>F106</f>
        <v>6 час</v>
      </c>
      <c r="G105" s="26">
        <f t="shared" si="30"/>
        <v>8.895</v>
      </c>
      <c r="H105" s="25">
        <v>0</v>
      </c>
      <c r="I105" s="24">
        <f>1.05*16</f>
        <v>16.8</v>
      </c>
      <c r="J105" s="5">
        <f>I105-G105-H105</f>
        <v>7.905000000000001</v>
      </c>
      <c r="K105" s="86">
        <f>MIN(J105:J107)</f>
        <v>7.905000000000001</v>
      </c>
      <c r="L105" s="89" t="s">
        <v>21</v>
      </c>
      <c r="M105" s="16"/>
      <c r="N105" s="89">
        <v>66</v>
      </c>
      <c r="O105" s="12" t="s">
        <v>157</v>
      </c>
      <c r="P105" s="15" t="s">
        <v>27</v>
      </c>
      <c r="Q105" s="63">
        <f>Q106+Q107</f>
        <v>0.2009</v>
      </c>
      <c r="R105" s="44">
        <f>R106+R107</f>
        <v>10.7359</v>
      </c>
      <c r="S105" s="25">
        <f>S106+S107</f>
        <v>1.64</v>
      </c>
      <c r="T105" s="25" t="str">
        <f>T106</f>
        <v>6 час</v>
      </c>
      <c r="U105" s="26">
        <f t="shared" si="31"/>
        <v>9.0959</v>
      </c>
      <c r="V105" s="25">
        <v>0</v>
      </c>
      <c r="W105" s="24">
        <f>1.05*16</f>
        <v>16.8</v>
      </c>
      <c r="X105" s="5">
        <f>W105-U105-V105</f>
        <v>7.7041</v>
      </c>
      <c r="Y105" s="86">
        <f>MIN(X105:X107)</f>
        <v>7.7041</v>
      </c>
      <c r="Z105" s="89" t="s">
        <v>21</v>
      </c>
    </row>
    <row r="106" spans="1:26" s="1" customFormat="1" ht="11.25" customHeight="1">
      <c r="A106" s="130"/>
      <c r="B106" s="27" t="s">
        <v>54</v>
      </c>
      <c r="C106" s="54" t="s">
        <v>27</v>
      </c>
      <c r="D106" s="45">
        <f>1.197+2.104</f>
        <v>3.301</v>
      </c>
      <c r="E106" s="25">
        <v>1.64</v>
      </c>
      <c r="F106" s="25" t="s">
        <v>55</v>
      </c>
      <c r="G106" s="26">
        <f t="shared" si="30"/>
        <v>1.6610000000000003</v>
      </c>
      <c r="H106" s="25">
        <v>0</v>
      </c>
      <c r="I106" s="24">
        <f>1.05*16</f>
        <v>16.8</v>
      </c>
      <c r="J106" s="5">
        <f>I106-D106</f>
        <v>13.499</v>
      </c>
      <c r="K106" s="90"/>
      <c r="L106" s="90"/>
      <c r="M106" s="16"/>
      <c r="N106" s="96"/>
      <c r="O106" s="27" t="s">
        <v>54</v>
      </c>
      <c r="P106" s="15" t="s">
        <v>27</v>
      </c>
      <c r="Q106" s="63"/>
      <c r="R106" s="44">
        <f t="shared" si="21"/>
        <v>3.301</v>
      </c>
      <c r="S106" s="25">
        <v>1.64</v>
      </c>
      <c r="T106" s="25" t="s">
        <v>55</v>
      </c>
      <c r="U106" s="26">
        <f t="shared" si="31"/>
        <v>1.6610000000000003</v>
      </c>
      <c r="V106" s="25">
        <v>0</v>
      </c>
      <c r="W106" s="24">
        <f>1.05*16</f>
        <v>16.8</v>
      </c>
      <c r="X106" s="5">
        <f>W106-R106</f>
        <v>13.499</v>
      </c>
      <c r="Y106" s="87"/>
      <c r="Z106" s="90"/>
    </row>
    <row r="107" spans="1:26" s="1" customFormat="1" ht="11.25" customHeight="1">
      <c r="A107" s="131"/>
      <c r="B107" s="27" t="s">
        <v>41</v>
      </c>
      <c r="C107" s="54" t="s">
        <v>27</v>
      </c>
      <c r="D107" s="45">
        <f>4.332+2.902</f>
        <v>7.234</v>
      </c>
      <c r="E107" s="25">
        <v>0</v>
      </c>
      <c r="F107" s="25">
        <v>0</v>
      </c>
      <c r="G107" s="26">
        <f t="shared" si="30"/>
        <v>7.234</v>
      </c>
      <c r="H107" s="25">
        <v>0</v>
      </c>
      <c r="I107" s="24">
        <f>1.05*16</f>
        <v>16.8</v>
      </c>
      <c r="J107" s="5">
        <f>I107-G107-H107</f>
        <v>9.566</v>
      </c>
      <c r="K107" s="91"/>
      <c r="L107" s="91"/>
      <c r="M107" s="16"/>
      <c r="N107" s="97"/>
      <c r="O107" s="27" t="s">
        <v>41</v>
      </c>
      <c r="P107" s="15" t="s">
        <v>27</v>
      </c>
      <c r="Q107" s="63">
        <f>0.056+0.097+0.005+0.003+0.032+0.003+0.0022-0.0414+0.0387+0.0054</f>
        <v>0.2009</v>
      </c>
      <c r="R107" s="44">
        <f t="shared" si="21"/>
        <v>7.4349</v>
      </c>
      <c r="S107" s="25">
        <v>0</v>
      </c>
      <c r="T107" s="25">
        <v>0</v>
      </c>
      <c r="U107" s="26">
        <f t="shared" si="31"/>
        <v>7.4349</v>
      </c>
      <c r="V107" s="25">
        <v>0</v>
      </c>
      <c r="W107" s="24">
        <f>1.05*16</f>
        <v>16.8</v>
      </c>
      <c r="X107" s="5">
        <f>W107-U107-V107</f>
        <v>9.365100000000002</v>
      </c>
      <c r="Y107" s="88"/>
      <c r="Z107" s="91"/>
    </row>
    <row r="108" spans="1:26" s="1" customFormat="1" ht="22.5">
      <c r="A108" s="129">
        <v>67</v>
      </c>
      <c r="B108" s="12" t="s">
        <v>159</v>
      </c>
      <c r="C108" s="54" t="s">
        <v>23</v>
      </c>
      <c r="D108" s="44">
        <f>D109+D110</f>
        <v>3.521</v>
      </c>
      <c r="E108" s="25">
        <f>E109+E110</f>
        <v>3.12</v>
      </c>
      <c r="F108" s="25" t="str">
        <f>F109</f>
        <v>6 час</v>
      </c>
      <c r="G108" s="26">
        <f t="shared" si="30"/>
        <v>0.4009999999999998</v>
      </c>
      <c r="H108" s="25">
        <v>0</v>
      </c>
      <c r="I108" s="24">
        <f>1.05*10</f>
        <v>10.5</v>
      </c>
      <c r="J108" s="5">
        <f>I108-G108-H108</f>
        <v>10.099</v>
      </c>
      <c r="K108" s="86">
        <f>MIN(J108:J110)</f>
        <v>7.795</v>
      </c>
      <c r="L108" s="89" t="s">
        <v>21</v>
      </c>
      <c r="M108" s="16"/>
      <c r="N108" s="89">
        <v>67</v>
      </c>
      <c r="O108" s="12" t="s">
        <v>159</v>
      </c>
      <c r="P108" s="15" t="s">
        <v>23</v>
      </c>
      <c r="Q108" s="63">
        <f>Q109+Q110</f>
        <v>0.019</v>
      </c>
      <c r="R108" s="44">
        <f>R109+R110</f>
        <v>3.54</v>
      </c>
      <c r="S108" s="25">
        <f>S109+S110</f>
        <v>3.12</v>
      </c>
      <c r="T108" s="25" t="str">
        <f>T109</f>
        <v>6 час</v>
      </c>
      <c r="U108" s="26">
        <f t="shared" si="31"/>
        <v>0.41999999999999993</v>
      </c>
      <c r="V108" s="25">
        <v>0</v>
      </c>
      <c r="W108" s="24">
        <f>1.05*10</f>
        <v>10.5</v>
      </c>
      <c r="X108" s="5">
        <f>W108-U108-V108</f>
        <v>10.08</v>
      </c>
      <c r="Y108" s="86">
        <f>MIN(X108:X110)</f>
        <v>7.795</v>
      </c>
      <c r="Z108" s="89" t="s">
        <v>21</v>
      </c>
    </row>
    <row r="109" spans="1:26" s="1" customFormat="1" ht="20.25" customHeight="1">
      <c r="A109" s="130"/>
      <c r="B109" s="27" t="s">
        <v>54</v>
      </c>
      <c r="C109" s="54" t="s">
        <v>23</v>
      </c>
      <c r="D109" s="45">
        <v>2.705</v>
      </c>
      <c r="E109" s="25">
        <v>3.12</v>
      </c>
      <c r="F109" s="25" t="s">
        <v>55</v>
      </c>
      <c r="G109" s="26">
        <f t="shared" si="30"/>
        <v>-0.41500000000000004</v>
      </c>
      <c r="H109" s="25">
        <v>0</v>
      </c>
      <c r="I109" s="24">
        <f>1.05*10</f>
        <v>10.5</v>
      </c>
      <c r="J109" s="5">
        <f>I109-D109</f>
        <v>7.795</v>
      </c>
      <c r="K109" s="90"/>
      <c r="L109" s="90"/>
      <c r="M109" s="16"/>
      <c r="N109" s="96"/>
      <c r="O109" s="27" t="s">
        <v>54</v>
      </c>
      <c r="P109" s="15" t="s">
        <v>23</v>
      </c>
      <c r="Q109" s="63"/>
      <c r="R109" s="44">
        <f t="shared" si="21"/>
        <v>2.705</v>
      </c>
      <c r="S109" s="25">
        <v>3.12</v>
      </c>
      <c r="T109" s="25" t="s">
        <v>55</v>
      </c>
      <c r="U109" s="26">
        <f t="shared" si="31"/>
        <v>-0.41500000000000004</v>
      </c>
      <c r="V109" s="25">
        <v>0</v>
      </c>
      <c r="W109" s="24">
        <f>1.05*10</f>
        <v>10.5</v>
      </c>
      <c r="X109" s="5">
        <f>W109-R109</f>
        <v>7.795</v>
      </c>
      <c r="Y109" s="87"/>
      <c r="Z109" s="90"/>
    </row>
    <row r="110" spans="1:26" s="1" customFormat="1" ht="22.5" customHeight="1">
      <c r="A110" s="131"/>
      <c r="B110" s="27" t="s">
        <v>41</v>
      </c>
      <c r="C110" s="54" t="s">
        <v>23</v>
      </c>
      <c r="D110" s="45">
        <v>0.816</v>
      </c>
      <c r="E110" s="25">
        <v>0</v>
      </c>
      <c r="F110" s="25">
        <v>0</v>
      </c>
      <c r="G110" s="26">
        <f t="shared" si="30"/>
        <v>0.816</v>
      </c>
      <c r="H110" s="25">
        <v>0</v>
      </c>
      <c r="I110" s="24">
        <f>1.05*10</f>
        <v>10.5</v>
      </c>
      <c r="J110" s="5">
        <f>I110-G110-H110</f>
        <v>9.684</v>
      </c>
      <c r="K110" s="91"/>
      <c r="L110" s="91"/>
      <c r="M110" s="16"/>
      <c r="N110" s="97"/>
      <c r="O110" s="27" t="s">
        <v>41</v>
      </c>
      <c r="P110" s="15" t="s">
        <v>23</v>
      </c>
      <c r="Q110" s="63">
        <f>0.009+0.004+0.0065-0.0005</f>
        <v>0.019</v>
      </c>
      <c r="R110" s="44">
        <f t="shared" si="21"/>
        <v>0.835</v>
      </c>
      <c r="S110" s="25">
        <v>0</v>
      </c>
      <c r="T110" s="25">
        <v>0</v>
      </c>
      <c r="U110" s="26">
        <f t="shared" si="31"/>
        <v>0.835</v>
      </c>
      <c r="V110" s="25">
        <v>0</v>
      </c>
      <c r="W110" s="24">
        <f>1.05*10</f>
        <v>10.5</v>
      </c>
      <c r="X110" s="5">
        <f>W110-U110-V110</f>
        <v>9.665</v>
      </c>
      <c r="Y110" s="88"/>
      <c r="Z110" s="91"/>
    </row>
    <row r="111" spans="1:26" s="1" customFormat="1" ht="22.5">
      <c r="A111" s="18">
        <v>68</v>
      </c>
      <c r="B111" s="12" t="s">
        <v>160</v>
      </c>
      <c r="C111" s="54" t="s">
        <v>24</v>
      </c>
      <c r="D111" s="44">
        <v>0.668</v>
      </c>
      <c r="E111" s="25">
        <v>0</v>
      </c>
      <c r="F111" s="25">
        <v>0</v>
      </c>
      <c r="G111" s="26">
        <f t="shared" si="30"/>
        <v>0.668</v>
      </c>
      <c r="H111" s="25">
        <v>0</v>
      </c>
      <c r="I111" s="24">
        <f>1.05*2.5</f>
        <v>2.625</v>
      </c>
      <c r="J111" s="6">
        <f>I111-G111-H111</f>
        <v>1.9569999999999999</v>
      </c>
      <c r="K111" s="26">
        <f>J111</f>
        <v>1.9569999999999999</v>
      </c>
      <c r="L111" s="17" t="s">
        <v>21</v>
      </c>
      <c r="M111" s="16"/>
      <c r="N111" s="12">
        <v>68</v>
      </c>
      <c r="O111" s="12" t="s">
        <v>160</v>
      </c>
      <c r="P111" s="15" t="s">
        <v>24</v>
      </c>
      <c r="Q111" s="63">
        <f>0.084+0.011+0.014+0.015+0.015+0.011+0.001+0.0108-0.0607+0.0056+0.0108+0.0538</f>
        <v>0.1713</v>
      </c>
      <c r="R111" s="44">
        <f t="shared" si="21"/>
        <v>0.8393</v>
      </c>
      <c r="S111" s="25">
        <v>0</v>
      </c>
      <c r="T111" s="25">
        <v>0</v>
      </c>
      <c r="U111" s="26">
        <f t="shared" si="31"/>
        <v>0.8393</v>
      </c>
      <c r="V111" s="25">
        <v>0</v>
      </c>
      <c r="W111" s="24">
        <f>1.05*2.5</f>
        <v>2.625</v>
      </c>
      <c r="X111" s="6">
        <f>W111-U111-V111</f>
        <v>1.7856999999999998</v>
      </c>
      <c r="Y111" s="26">
        <f>X111</f>
        <v>1.7856999999999998</v>
      </c>
      <c r="Z111" s="12" t="s">
        <v>21</v>
      </c>
    </row>
    <row r="112" spans="1:26" s="1" customFormat="1" ht="22.5">
      <c r="A112" s="129">
        <v>69</v>
      </c>
      <c r="B112" s="12" t="s">
        <v>162</v>
      </c>
      <c r="C112" s="54" t="s">
        <v>50</v>
      </c>
      <c r="D112" s="44">
        <f>D113+D114</f>
        <v>9.411</v>
      </c>
      <c r="E112" s="25">
        <f>E113+E114</f>
        <v>1.8</v>
      </c>
      <c r="F112" s="25" t="str">
        <f>F113</f>
        <v>6 час</v>
      </c>
      <c r="G112" s="26">
        <f t="shared" si="30"/>
        <v>7.611</v>
      </c>
      <c r="H112" s="25">
        <v>0</v>
      </c>
      <c r="I112" s="24">
        <f>1.05*32</f>
        <v>33.6</v>
      </c>
      <c r="J112" s="5">
        <f>I112-G112-H112</f>
        <v>25.989</v>
      </c>
      <c r="K112" s="86">
        <f>MIN(J112:J114)</f>
        <v>25.989</v>
      </c>
      <c r="L112" s="89" t="s">
        <v>21</v>
      </c>
      <c r="M112" s="16"/>
      <c r="N112" s="89">
        <v>69</v>
      </c>
      <c r="O112" s="12" t="s">
        <v>162</v>
      </c>
      <c r="P112" s="15" t="s">
        <v>50</v>
      </c>
      <c r="Q112" s="63">
        <f>Q113+Q114</f>
        <v>1.2769000000000001</v>
      </c>
      <c r="R112" s="44">
        <f>R113+R114</f>
        <v>10.687899999999999</v>
      </c>
      <c r="S112" s="25">
        <f>S113+S114</f>
        <v>1.8</v>
      </c>
      <c r="T112" s="25" t="str">
        <f>T113</f>
        <v>6 час</v>
      </c>
      <c r="U112" s="26">
        <f t="shared" si="31"/>
        <v>8.887899999999998</v>
      </c>
      <c r="V112" s="25">
        <v>0</v>
      </c>
      <c r="W112" s="24">
        <f>1.05*32</f>
        <v>33.6</v>
      </c>
      <c r="X112" s="5">
        <f>W112-U112-V112</f>
        <v>24.712100000000003</v>
      </c>
      <c r="Y112" s="86">
        <f>MIN(X112:X114)</f>
        <v>24.712100000000003</v>
      </c>
      <c r="Z112" s="89" t="s">
        <v>21</v>
      </c>
    </row>
    <row r="113" spans="1:26" s="1" customFormat="1" ht="11.25" customHeight="1">
      <c r="A113" s="130"/>
      <c r="B113" s="27" t="s">
        <v>54</v>
      </c>
      <c r="C113" s="50" t="s">
        <v>27</v>
      </c>
      <c r="D113" s="45">
        <v>1.952</v>
      </c>
      <c r="E113" s="25">
        <v>1.8</v>
      </c>
      <c r="F113" s="25" t="s">
        <v>55</v>
      </c>
      <c r="G113" s="26">
        <f t="shared" si="30"/>
        <v>0.1519999999999999</v>
      </c>
      <c r="H113" s="25">
        <v>0</v>
      </c>
      <c r="I113" s="24">
        <f>1.05*32</f>
        <v>33.6</v>
      </c>
      <c r="J113" s="5">
        <f>I113-D113</f>
        <v>31.648000000000003</v>
      </c>
      <c r="K113" s="90"/>
      <c r="L113" s="90"/>
      <c r="M113" s="16"/>
      <c r="N113" s="96"/>
      <c r="O113" s="27" t="s">
        <v>54</v>
      </c>
      <c r="P113" s="28" t="s">
        <v>27</v>
      </c>
      <c r="Q113" s="62"/>
      <c r="R113" s="44">
        <f t="shared" si="21"/>
        <v>1.952</v>
      </c>
      <c r="S113" s="25">
        <v>1.8</v>
      </c>
      <c r="T113" s="25" t="s">
        <v>55</v>
      </c>
      <c r="U113" s="26">
        <f t="shared" si="31"/>
        <v>0.1519999999999999</v>
      </c>
      <c r="V113" s="25">
        <v>0</v>
      </c>
      <c r="W113" s="24">
        <f>1.05*32</f>
        <v>33.6</v>
      </c>
      <c r="X113" s="5">
        <f>W113-R113</f>
        <v>31.648000000000003</v>
      </c>
      <c r="Y113" s="87"/>
      <c r="Z113" s="90"/>
    </row>
    <row r="114" spans="1:26" s="1" customFormat="1" ht="11.25" customHeight="1">
      <c r="A114" s="131"/>
      <c r="B114" s="27" t="s">
        <v>41</v>
      </c>
      <c r="C114" s="50" t="s">
        <v>27</v>
      </c>
      <c r="D114" s="45">
        <f>7.459</f>
        <v>7.459</v>
      </c>
      <c r="E114" s="25">
        <v>0</v>
      </c>
      <c r="F114" s="25">
        <v>0</v>
      </c>
      <c r="G114" s="26">
        <f t="shared" si="30"/>
        <v>7.459</v>
      </c>
      <c r="H114" s="25">
        <v>0</v>
      </c>
      <c r="I114" s="24">
        <f>1.05*32</f>
        <v>33.6</v>
      </c>
      <c r="J114" s="5">
        <f>I114-G114-H114</f>
        <v>26.141000000000002</v>
      </c>
      <c r="K114" s="91"/>
      <c r="L114" s="91"/>
      <c r="M114" s="16"/>
      <c r="N114" s="97"/>
      <c r="O114" s="27" t="s">
        <v>41</v>
      </c>
      <c r="P114" s="28" t="s">
        <v>27</v>
      </c>
      <c r="Q114" s="62">
        <f>0.034+0.108+0.016+0.614+0.016+0.022+0.005+0.4623+0.0237-0.0726+0.0108+0.0216+0.0161</f>
        <v>1.2769000000000001</v>
      </c>
      <c r="R114" s="44">
        <f t="shared" si="21"/>
        <v>8.735899999999999</v>
      </c>
      <c r="S114" s="25">
        <v>0</v>
      </c>
      <c r="T114" s="25">
        <v>0</v>
      </c>
      <c r="U114" s="26">
        <f t="shared" si="31"/>
        <v>8.735899999999999</v>
      </c>
      <c r="V114" s="25">
        <v>0</v>
      </c>
      <c r="W114" s="24">
        <f>1.05*32</f>
        <v>33.6</v>
      </c>
      <c r="X114" s="5">
        <f>W114-U114-V114</f>
        <v>24.8641</v>
      </c>
      <c r="Y114" s="88"/>
      <c r="Z114" s="91"/>
    </row>
    <row r="115" spans="1:26" s="1" customFormat="1" ht="22.5">
      <c r="A115" s="129">
        <v>70</v>
      </c>
      <c r="B115" s="12" t="s">
        <v>163</v>
      </c>
      <c r="C115" s="54" t="s">
        <v>28</v>
      </c>
      <c r="D115" s="44">
        <f>D116+D117</f>
        <v>11.182</v>
      </c>
      <c r="E115" s="25">
        <f>E116+E117</f>
        <v>2.21</v>
      </c>
      <c r="F115" s="25" t="str">
        <f>F116</f>
        <v>3 час</v>
      </c>
      <c r="G115" s="26">
        <f t="shared" si="30"/>
        <v>8.972000000000001</v>
      </c>
      <c r="H115" s="25">
        <v>0</v>
      </c>
      <c r="I115" s="24">
        <f>1.05*25</f>
        <v>26.25</v>
      </c>
      <c r="J115" s="5">
        <f>I115-G115-H115</f>
        <v>17.278</v>
      </c>
      <c r="K115" s="86">
        <f>MIN(J115:J117)</f>
        <v>16.497</v>
      </c>
      <c r="L115" s="89" t="s">
        <v>21</v>
      </c>
      <c r="M115" s="16"/>
      <c r="N115" s="89">
        <v>70</v>
      </c>
      <c r="O115" s="12" t="s">
        <v>163</v>
      </c>
      <c r="P115" s="15" t="s">
        <v>28</v>
      </c>
      <c r="Q115" s="63">
        <f>Q116+Q117</f>
        <v>3.2420999999999998</v>
      </c>
      <c r="R115" s="44">
        <f>R116+R117</f>
        <v>14.424100000000001</v>
      </c>
      <c r="S115" s="25">
        <f>S116+S117</f>
        <v>2.21</v>
      </c>
      <c r="T115" s="25" t="str">
        <f>T116</f>
        <v>3 час</v>
      </c>
      <c r="U115" s="26">
        <f t="shared" si="31"/>
        <v>12.214100000000002</v>
      </c>
      <c r="V115" s="25">
        <v>0</v>
      </c>
      <c r="W115" s="24">
        <f>1.05*25</f>
        <v>26.25</v>
      </c>
      <c r="X115" s="5">
        <f>W115-U115-V115</f>
        <v>14.035899999999998</v>
      </c>
      <c r="Y115" s="86">
        <f>MIN(X115:X117)</f>
        <v>13.2549</v>
      </c>
      <c r="Z115" s="89" t="s">
        <v>21</v>
      </c>
    </row>
    <row r="116" spans="1:26" s="1" customFormat="1" ht="11.25" customHeight="1">
      <c r="A116" s="130"/>
      <c r="B116" s="27" t="s">
        <v>54</v>
      </c>
      <c r="C116" s="54" t="s">
        <v>28</v>
      </c>
      <c r="D116" s="45">
        <f>1.105+0.324</f>
        <v>1.429</v>
      </c>
      <c r="E116" s="25">
        <v>2.21</v>
      </c>
      <c r="F116" s="25" t="s">
        <v>53</v>
      </c>
      <c r="G116" s="26">
        <f t="shared" si="30"/>
        <v>-0.7809999999999999</v>
      </c>
      <c r="H116" s="25">
        <v>0</v>
      </c>
      <c r="I116" s="24">
        <f>1.05*25</f>
        <v>26.25</v>
      </c>
      <c r="J116" s="5">
        <f>I116-D116</f>
        <v>24.821</v>
      </c>
      <c r="K116" s="90"/>
      <c r="L116" s="90"/>
      <c r="M116" s="16"/>
      <c r="N116" s="96"/>
      <c r="O116" s="27" t="s">
        <v>54</v>
      </c>
      <c r="P116" s="15" t="s">
        <v>28</v>
      </c>
      <c r="Q116" s="63"/>
      <c r="R116" s="44">
        <f t="shared" si="21"/>
        <v>1.429</v>
      </c>
      <c r="S116" s="25">
        <v>2.21</v>
      </c>
      <c r="T116" s="25" t="s">
        <v>53</v>
      </c>
      <c r="U116" s="26">
        <f t="shared" si="31"/>
        <v>-0.7809999999999999</v>
      </c>
      <c r="V116" s="25">
        <v>0</v>
      </c>
      <c r="W116" s="24">
        <f>1.05*25</f>
        <v>26.25</v>
      </c>
      <c r="X116" s="5">
        <f>W116-R116</f>
        <v>24.821</v>
      </c>
      <c r="Y116" s="87"/>
      <c r="Z116" s="90"/>
    </row>
    <row r="117" spans="1:26" s="1" customFormat="1" ht="11.25" customHeight="1">
      <c r="A117" s="131"/>
      <c r="B117" s="27" t="s">
        <v>41</v>
      </c>
      <c r="C117" s="54" t="s">
        <v>28</v>
      </c>
      <c r="D117" s="45">
        <f>5.658+4.095</f>
        <v>9.753</v>
      </c>
      <c r="E117" s="25">
        <v>0</v>
      </c>
      <c r="F117" s="25">
        <v>0</v>
      </c>
      <c r="G117" s="26">
        <f t="shared" si="30"/>
        <v>9.753</v>
      </c>
      <c r="H117" s="25">
        <v>0</v>
      </c>
      <c r="I117" s="24">
        <f>1.05*25</f>
        <v>26.25</v>
      </c>
      <c r="J117" s="5">
        <f>I117-G117-H117</f>
        <v>16.497</v>
      </c>
      <c r="K117" s="91"/>
      <c r="L117" s="91"/>
      <c r="M117" s="16"/>
      <c r="N117" s="97"/>
      <c r="O117" s="27" t="s">
        <v>41</v>
      </c>
      <c r="P117" s="15" t="s">
        <v>28</v>
      </c>
      <c r="Q117" s="63">
        <f>1.731+0.001+0.11+0.005+0.004+0.101+0.005+0.005+0.017+1.2044+0.0065+0.0484+0.0038</f>
        <v>3.2420999999999998</v>
      </c>
      <c r="R117" s="44">
        <f t="shared" si="21"/>
        <v>12.9951</v>
      </c>
      <c r="S117" s="25">
        <v>0</v>
      </c>
      <c r="T117" s="25">
        <v>0</v>
      </c>
      <c r="U117" s="26">
        <f t="shared" si="31"/>
        <v>12.9951</v>
      </c>
      <c r="V117" s="25">
        <v>0</v>
      </c>
      <c r="W117" s="24">
        <f>1.05*25</f>
        <v>26.25</v>
      </c>
      <c r="X117" s="5">
        <f>W117-U117-V117</f>
        <v>13.2549</v>
      </c>
      <c r="Y117" s="88"/>
      <c r="Z117" s="91"/>
    </row>
    <row r="118" spans="1:26" s="1" customFormat="1" ht="22.5">
      <c r="A118" s="18">
        <v>71</v>
      </c>
      <c r="B118" s="12" t="s">
        <v>164</v>
      </c>
      <c r="C118" s="54" t="s">
        <v>24</v>
      </c>
      <c r="D118" s="44">
        <v>0.279</v>
      </c>
      <c r="E118" s="25">
        <v>0</v>
      </c>
      <c r="F118" s="25">
        <v>0</v>
      </c>
      <c r="G118" s="26">
        <f t="shared" si="30"/>
        <v>0.279</v>
      </c>
      <c r="H118" s="25">
        <v>0</v>
      </c>
      <c r="I118" s="24">
        <f>1.05*2.5</f>
        <v>2.625</v>
      </c>
      <c r="J118" s="6">
        <f>I118-G118-H118</f>
        <v>2.346</v>
      </c>
      <c r="K118" s="26">
        <f>J118</f>
        <v>2.346</v>
      </c>
      <c r="L118" s="17" t="s">
        <v>21</v>
      </c>
      <c r="M118" s="16"/>
      <c r="N118" s="12">
        <v>71</v>
      </c>
      <c r="O118" s="12" t="s">
        <v>164</v>
      </c>
      <c r="P118" s="15" t="s">
        <v>24</v>
      </c>
      <c r="Q118" s="63">
        <v>0.006</v>
      </c>
      <c r="R118" s="44">
        <f t="shared" si="21"/>
        <v>0.28500000000000003</v>
      </c>
      <c r="S118" s="25">
        <v>0</v>
      </c>
      <c r="T118" s="25">
        <v>0</v>
      </c>
      <c r="U118" s="26">
        <f t="shared" si="31"/>
        <v>0.28500000000000003</v>
      </c>
      <c r="V118" s="25">
        <v>0</v>
      </c>
      <c r="W118" s="24">
        <f>1.05*2.5</f>
        <v>2.625</v>
      </c>
      <c r="X118" s="6">
        <f>W118-U118-V118</f>
        <v>2.34</v>
      </c>
      <c r="Y118" s="26">
        <f>X118</f>
        <v>2.34</v>
      </c>
      <c r="Z118" s="12" t="s">
        <v>21</v>
      </c>
    </row>
    <row r="119" spans="1:26" s="1" customFormat="1" ht="22.5">
      <c r="A119" s="129">
        <v>72</v>
      </c>
      <c r="B119" s="12" t="s">
        <v>165</v>
      </c>
      <c r="C119" s="54" t="s">
        <v>27</v>
      </c>
      <c r="D119" s="44">
        <f>D120+D121</f>
        <v>12.564</v>
      </c>
      <c r="E119" s="25">
        <f>E120+E121</f>
        <v>7.34</v>
      </c>
      <c r="F119" s="25" t="str">
        <f>F120</f>
        <v>6 час</v>
      </c>
      <c r="G119" s="26">
        <f t="shared" si="30"/>
        <v>5.224</v>
      </c>
      <c r="H119" s="25">
        <v>0</v>
      </c>
      <c r="I119" s="24">
        <f>1.05*16</f>
        <v>16.8</v>
      </c>
      <c r="J119" s="5">
        <f>I119-G119-H119</f>
        <v>11.576</v>
      </c>
      <c r="K119" s="86">
        <f>MIN(J119:J121)</f>
        <v>9.465</v>
      </c>
      <c r="L119" s="89" t="s">
        <v>21</v>
      </c>
      <c r="M119" s="16"/>
      <c r="N119" s="89">
        <v>72</v>
      </c>
      <c r="O119" s="12" t="s">
        <v>165</v>
      </c>
      <c r="P119" s="15" t="s">
        <v>27</v>
      </c>
      <c r="Q119" s="63">
        <f>Q120+Q121</f>
        <v>0.0405</v>
      </c>
      <c r="R119" s="44">
        <f>R120+R121</f>
        <v>12.6045</v>
      </c>
      <c r="S119" s="25">
        <f>S120+S121</f>
        <v>7.34</v>
      </c>
      <c r="T119" s="25" t="str">
        <f>T120</f>
        <v>6 час</v>
      </c>
      <c r="U119" s="26">
        <f t="shared" si="31"/>
        <v>5.2645</v>
      </c>
      <c r="V119" s="25">
        <v>0</v>
      </c>
      <c r="W119" s="24">
        <f>1.05*16</f>
        <v>16.8</v>
      </c>
      <c r="X119" s="5">
        <f>W119-U119-V119</f>
        <v>11.5355</v>
      </c>
      <c r="Y119" s="86">
        <f>MIN(X119:X121)</f>
        <v>9.465</v>
      </c>
      <c r="Z119" s="89" t="s">
        <v>21</v>
      </c>
    </row>
    <row r="120" spans="1:26" s="1" customFormat="1" ht="22.5">
      <c r="A120" s="130"/>
      <c r="B120" s="27" t="s">
        <v>54</v>
      </c>
      <c r="C120" s="54" t="s">
        <v>27</v>
      </c>
      <c r="D120" s="45">
        <v>7.335</v>
      </c>
      <c r="E120" s="25">
        <v>7.34</v>
      </c>
      <c r="F120" s="25" t="s">
        <v>55</v>
      </c>
      <c r="G120" s="26">
        <f t="shared" si="30"/>
        <v>-0.004999999999999893</v>
      </c>
      <c r="H120" s="25">
        <v>0</v>
      </c>
      <c r="I120" s="24">
        <f>1.05*16</f>
        <v>16.8</v>
      </c>
      <c r="J120" s="5">
        <f>I120-D120</f>
        <v>9.465</v>
      </c>
      <c r="K120" s="90"/>
      <c r="L120" s="90"/>
      <c r="M120" s="16"/>
      <c r="N120" s="96"/>
      <c r="O120" s="27" t="s">
        <v>54</v>
      </c>
      <c r="P120" s="15" t="s">
        <v>27</v>
      </c>
      <c r="Q120" s="63"/>
      <c r="R120" s="44">
        <f t="shared" si="21"/>
        <v>7.335</v>
      </c>
      <c r="S120" s="25">
        <v>7.34</v>
      </c>
      <c r="T120" s="25" t="s">
        <v>55</v>
      </c>
      <c r="U120" s="26">
        <f t="shared" si="31"/>
        <v>-0.004999999999999893</v>
      </c>
      <c r="V120" s="25">
        <v>0</v>
      </c>
      <c r="W120" s="24">
        <f>1.05*16</f>
        <v>16.8</v>
      </c>
      <c r="X120" s="5">
        <f>W120-R120</f>
        <v>9.465</v>
      </c>
      <c r="Y120" s="87"/>
      <c r="Z120" s="90"/>
    </row>
    <row r="121" spans="1:26" s="1" customFormat="1" ht="22.5">
      <c r="A121" s="131"/>
      <c r="B121" s="27" t="s">
        <v>41</v>
      </c>
      <c r="C121" s="54" t="s">
        <v>27</v>
      </c>
      <c r="D121" s="45">
        <v>5.229</v>
      </c>
      <c r="E121" s="25">
        <v>0</v>
      </c>
      <c r="F121" s="25">
        <v>0</v>
      </c>
      <c r="G121" s="26">
        <f t="shared" si="30"/>
        <v>5.229</v>
      </c>
      <c r="H121" s="25">
        <v>0</v>
      </c>
      <c r="I121" s="24">
        <f>1.05*16</f>
        <v>16.8</v>
      </c>
      <c r="J121" s="5">
        <f>I121-G121-H121</f>
        <v>11.571000000000002</v>
      </c>
      <c r="K121" s="91"/>
      <c r="L121" s="91"/>
      <c r="M121" s="16"/>
      <c r="N121" s="97"/>
      <c r="O121" s="27" t="s">
        <v>41</v>
      </c>
      <c r="P121" s="15" t="s">
        <v>27</v>
      </c>
      <c r="Q121" s="63">
        <f>0.017+0.004+0.004+0.0048-0.0091+0.0043+0.0155</f>
        <v>0.0405</v>
      </c>
      <c r="R121" s="44">
        <f t="shared" si="21"/>
        <v>5.2695</v>
      </c>
      <c r="S121" s="25">
        <v>0</v>
      </c>
      <c r="T121" s="25">
        <v>0</v>
      </c>
      <c r="U121" s="26">
        <f t="shared" si="31"/>
        <v>5.2695</v>
      </c>
      <c r="V121" s="25">
        <v>0</v>
      </c>
      <c r="W121" s="24">
        <f>1.05*16</f>
        <v>16.8</v>
      </c>
      <c r="X121" s="5">
        <f>W121-U121-V121</f>
        <v>11.5305</v>
      </c>
      <c r="Y121" s="88"/>
      <c r="Z121" s="91"/>
    </row>
    <row r="122" spans="1:26" s="1" customFormat="1" ht="22.5">
      <c r="A122" s="18">
        <v>73</v>
      </c>
      <c r="B122" s="18" t="s">
        <v>166</v>
      </c>
      <c r="C122" s="54" t="s">
        <v>26</v>
      </c>
      <c r="D122" s="44">
        <v>1.116</v>
      </c>
      <c r="E122" s="25">
        <v>0</v>
      </c>
      <c r="F122" s="25">
        <v>0</v>
      </c>
      <c r="G122" s="26">
        <f t="shared" si="30"/>
        <v>1.116</v>
      </c>
      <c r="H122" s="25">
        <v>0</v>
      </c>
      <c r="I122" s="24">
        <f>1.05*6.3</f>
        <v>6.615</v>
      </c>
      <c r="J122" s="6">
        <f>I122-G122-H122</f>
        <v>5.4990000000000006</v>
      </c>
      <c r="K122" s="26">
        <f>J122</f>
        <v>5.4990000000000006</v>
      </c>
      <c r="L122" s="17" t="s">
        <v>21</v>
      </c>
      <c r="M122" s="16"/>
      <c r="N122" s="12">
        <v>73</v>
      </c>
      <c r="O122" s="12" t="s">
        <v>166</v>
      </c>
      <c r="P122" s="15" t="s">
        <v>26</v>
      </c>
      <c r="Q122" s="63">
        <f>0.01+0.005+0.03+0.06+0.009+0.006-0.0656+0.0753</f>
        <v>0.12969999999999998</v>
      </c>
      <c r="R122" s="44">
        <f t="shared" si="21"/>
        <v>1.2457</v>
      </c>
      <c r="S122" s="25">
        <v>0</v>
      </c>
      <c r="T122" s="25">
        <v>0</v>
      </c>
      <c r="U122" s="26">
        <f t="shared" si="31"/>
        <v>1.2457</v>
      </c>
      <c r="V122" s="25">
        <v>0</v>
      </c>
      <c r="W122" s="24">
        <f>1.05*6.3</f>
        <v>6.615</v>
      </c>
      <c r="X122" s="6">
        <f>W122-U122-V122</f>
        <v>5.3693</v>
      </c>
      <c r="Y122" s="26">
        <f>X122</f>
        <v>5.3693</v>
      </c>
      <c r="Z122" s="12" t="s">
        <v>21</v>
      </c>
    </row>
    <row r="123" spans="1:26" s="1" customFormat="1" ht="22.5">
      <c r="A123" s="129">
        <v>74</v>
      </c>
      <c r="B123" s="12" t="s">
        <v>167</v>
      </c>
      <c r="C123" s="54" t="s">
        <v>27</v>
      </c>
      <c r="D123" s="44">
        <f>D124+D125</f>
        <v>19.433000000000003</v>
      </c>
      <c r="E123" s="25">
        <f>E124+E125</f>
        <v>3.04</v>
      </c>
      <c r="F123" s="25" t="str">
        <f>F124</f>
        <v>6 час</v>
      </c>
      <c r="G123" s="26">
        <f t="shared" si="30"/>
        <v>16.393000000000004</v>
      </c>
      <c r="H123" s="25">
        <v>0</v>
      </c>
      <c r="I123" s="24">
        <f>1.05*16</f>
        <v>16.8</v>
      </c>
      <c r="J123" s="5">
        <f>I123-G123-H123</f>
        <v>0.4069999999999965</v>
      </c>
      <c r="K123" s="86">
        <f>MIN(J123:J125)</f>
        <v>0.18499999999999872</v>
      </c>
      <c r="L123" s="89" t="s">
        <v>21</v>
      </c>
      <c r="M123" s="16"/>
      <c r="N123" s="89">
        <v>74</v>
      </c>
      <c r="O123" s="12" t="s">
        <v>167</v>
      </c>
      <c r="P123" s="15" t="s">
        <v>27</v>
      </c>
      <c r="Q123" s="63">
        <f>Q124+Q125</f>
        <v>0</v>
      </c>
      <c r="R123" s="44">
        <f>R124+R125</f>
        <v>19.433000000000003</v>
      </c>
      <c r="S123" s="25">
        <f>S124+S125</f>
        <v>3.04</v>
      </c>
      <c r="T123" s="25" t="str">
        <f>T124</f>
        <v>6 час</v>
      </c>
      <c r="U123" s="26">
        <f t="shared" si="31"/>
        <v>16.393000000000004</v>
      </c>
      <c r="V123" s="25">
        <v>0</v>
      </c>
      <c r="W123" s="24">
        <f>1.05*16</f>
        <v>16.8</v>
      </c>
      <c r="X123" s="5">
        <f>W123-U123-V123</f>
        <v>0.4069999999999965</v>
      </c>
      <c r="Y123" s="86">
        <f>MIN(X123:X125)</f>
        <v>0.18499999999999872</v>
      </c>
      <c r="Z123" s="89" t="s">
        <v>21</v>
      </c>
    </row>
    <row r="124" spans="1:26" s="1" customFormat="1" ht="22.5">
      <c r="A124" s="130"/>
      <c r="B124" s="27" t="s">
        <v>54</v>
      </c>
      <c r="C124" s="54" t="s">
        <v>27</v>
      </c>
      <c r="D124" s="45">
        <f>0.17+2.648</f>
        <v>2.818</v>
      </c>
      <c r="E124" s="25">
        <v>3.04</v>
      </c>
      <c r="F124" s="25" t="s">
        <v>55</v>
      </c>
      <c r="G124" s="26">
        <f t="shared" si="30"/>
        <v>-0.22199999999999998</v>
      </c>
      <c r="H124" s="25">
        <v>0</v>
      </c>
      <c r="I124" s="24">
        <f>1.05*16</f>
        <v>16.8</v>
      </c>
      <c r="J124" s="5">
        <f>I124-D124</f>
        <v>13.982000000000001</v>
      </c>
      <c r="K124" s="90"/>
      <c r="L124" s="90"/>
      <c r="M124" s="16"/>
      <c r="N124" s="96"/>
      <c r="O124" s="27" t="s">
        <v>54</v>
      </c>
      <c r="P124" s="15" t="s">
        <v>27</v>
      </c>
      <c r="Q124" s="63"/>
      <c r="R124" s="44">
        <f t="shared" si="21"/>
        <v>2.818</v>
      </c>
      <c r="S124" s="25">
        <v>3.04</v>
      </c>
      <c r="T124" s="25" t="s">
        <v>55</v>
      </c>
      <c r="U124" s="26">
        <f t="shared" si="31"/>
        <v>-0.22199999999999998</v>
      </c>
      <c r="V124" s="25">
        <v>0</v>
      </c>
      <c r="W124" s="24">
        <f>1.05*16</f>
        <v>16.8</v>
      </c>
      <c r="X124" s="5">
        <f>W124-R124</f>
        <v>13.982000000000001</v>
      </c>
      <c r="Y124" s="87"/>
      <c r="Z124" s="90"/>
    </row>
    <row r="125" spans="1:26" s="1" customFormat="1" ht="22.5">
      <c r="A125" s="131"/>
      <c r="B125" s="27" t="s">
        <v>41</v>
      </c>
      <c r="C125" s="54" t="s">
        <v>27</v>
      </c>
      <c r="D125" s="45">
        <f>7.953+8.662</f>
        <v>16.615000000000002</v>
      </c>
      <c r="E125" s="25">
        <v>0</v>
      </c>
      <c r="F125" s="25">
        <v>0</v>
      </c>
      <c r="G125" s="26">
        <f t="shared" si="30"/>
        <v>16.615000000000002</v>
      </c>
      <c r="H125" s="25">
        <v>0</v>
      </c>
      <c r="I125" s="24">
        <f>1.05*16</f>
        <v>16.8</v>
      </c>
      <c r="J125" s="5">
        <f>I125-G125-H125</f>
        <v>0.18499999999999872</v>
      </c>
      <c r="K125" s="91"/>
      <c r="L125" s="91"/>
      <c r="M125" s="16"/>
      <c r="N125" s="97"/>
      <c r="O125" s="27" t="s">
        <v>41</v>
      </c>
      <c r="P125" s="15" t="s">
        <v>27</v>
      </c>
      <c r="Q125" s="63"/>
      <c r="R125" s="44">
        <f t="shared" si="21"/>
        <v>16.615000000000002</v>
      </c>
      <c r="S125" s="25">
        <v>0</v>
      </c>
      <c r="T125" s="25">
        <v>0</v>
      </c>
      <c r="U125" s="26">
        <f t="shared" si="31"/>
        <v>16.615000000000002</v>
      </c>
      <c r="V125" s="25">
        <v>0</v>
      </c>
      <c r="W125" s="24">
        <f>1.05*16</f>
        <v>16.8</v>
      </c>
      <c r="X125" s="5">
        <f>W125-U125-V125</f>
        <v>0.18499999999999872</v>
      </c>
      <c r="Y125" s="88"/>
      <c r="Z125" s="91"/>
    </row>
    <row r="126" spans="1:26" s="1" customFormat="1" ht="22.5">
      <c r="A126" s="18">
        <v>75</v>
      </c>
      <c r="B126" s="12" t="s">
        <v>168</v>
      </c>
      <c r="C126" s="54" t="s">
        <v>37</v>
      </c>
      <c r="D126" s="44">
        <v>7.977</v>
      </c>
      <c r="E126" s="25">
        <v>0</v>
      </c>
      <c r="F126" s="25">
        <v>0</v>
      </c>
      <c r="G126" s="26">
        <f t="shared" si="30"/>
        <v>7.977</v>
      </c>
      <c r="H126" s="25">
        <v>0</v>
      </c>
      <c r="I126" s="24">
        <f>1.05*10</f>
        <v>10.5</v>
      </c>
      <c r="J126" s="6">
        <f>I126-G126-H126</f>
        <v>2.5229999999999997</v>
      </c>
      <c r="K126" s="26">
        <f>J126</f>
        <v>2.5229999999999997</v>
      </c>
      <c r="L126" s="17" t="s">
        <v>21</v>
      </c>
      <c r="M126" s="16"/>
      <c r="N126" s="12">
        <v>75</v>
      </c>
      <c r="O126" s="12" t="s">
        <v>168</v>
      </c>
      <c r="P126" s="15" t="s">
        <v>37</v>
      </c>
      <c r="Q126" s="63">
        <f>0.311+0.029+0.024+0.01+0.304+0.145+0.005+0.009+0.011+0.0108+0.0223-0.1704</f>
        <v>0.7107000000000001</v>
      </c>
      <c r="R126" s="44">
        <f t="shared" si="21"/>
        <v>8.6877</v>
      </c>
      <c r="S126" s="25">
        <v>0</v>
      </c>
      <c r="T126" s="25">
        <v>0</v>
      </c>
      <c r="U126" s="26">
        <f t="shared" si="31"/>
        <v>8.6877</v>
      </c>
      <c r="V126" s="25">
        <v>0</v>
      </c>
      <c r="W126" s="24">
        <f>1.05*10</f>
        <v>10.5</v>
      </c>
      <c r="X126" s="6">
        <f>W126-U126-V126</f>
        <v>1.8123000000000005</v>
      </c>
      <c r="Y126" s="26">
        <f>X126</f>
        <v>1.8123000000000005</v>
      </c>
      <c r="Z126" s="12" t="s">
        <v>21</v>
      </c>
    </row>
    <row r="127" spans="1:26" s="1" customFormat="1" ht="22.5">
      <c r="A127" s="18">
        <v>76</v>
      </c>
      <c r="B127" s="18" t="s">
        <v>170</v>
      </c>
      <c r="C127" s="54" t="s">
        <v>26</v>
      </c>
      <c r="D127" s="44">
        <v>0.819</v>
      </c>
      <c r="E127" s="25">
        <v>0</v>
      </c>
      <c r="F127" s="25">
        <v>0</v>
      </c>
      <c r="G127" s="26">
        <f t="shared" si="30"/>
        <v>0.819</v>
      </c>
      <c r="H127" s="25">
        <v>0</v>
      </c>
      <c r="I127" s="24">
        <f>1.05*6.3</f>
        <v>6.615</v>
      </c>
      <c r="J127" s="6">
        <f>I127-G127-H127</f>
        <v>5.796</v>
      </c>
      <c r="K127" s="26">
        <f>J127</f>
        <v>5.796</v>
      </c>
      <c r="L127" s="17" t="s">
        <v>21</v>
      </c>
      <c r="M127" s="16"/>
      <c r="N127" s="12">
        <v>76</v>
      </c>
      <c r="O127" s="12" t="s">
        <v>170</v>
      </c>
      <c r="P127" s="15" t="s">
        <v>26</v>
      </c>
      <c r="Q127" s="63">
        <f>0.011+0.005+0.0086-0.0163+0.0065+0.0081</f>
        <v>0.0229</v>
      </c>
      <c r="R127" s="44">
        <f t="shared" si="21"/>
        <v>0.8419</v>
      </c>
      <c r="S127" s="25">
        <v>0</v>
      </c>
      <c r="T127" s="25">
        <v>0</v>
      </c>
      <c r="U127" s="26">
        <f t="shared" si="31"/>
        <v>0.8419</v>
      </c>
      <c r="V127" s="25">
        <v>0</v>
      </c>
      <c r="W127" s="24">
        <f>1.05*6.3</f>
        <v>6.615</v>
      </c>
      <c r="X127" s="6">
        <f>W127-U127-V127</f>
        <v>5.7731</v>
      </c>
      <c r="Y127" s="26">
        <f>X127</f>
        <v>5.7731</v>
      </c>
      <c r="Z127" s="12" t="s">
        <v>21</v>
      </c>
    </row>
    <row r="128" spans="1:26" s="1" customFormat="1" ht="22.5">
      <c r="A128" s="129">
        <v>77</v>
      </c>
      <c r="B128" s="12" t="s">
        <v>169</v>
      </c>
      <c r="C128" s="54" t="s">
        <v>27</v>
      </c>
      <c r="D128" s="44">
        <f>D129+D130</f>
        <v>13.228</v>
      </c>
      <c r="E128" s="25">
        <f>E129+E130</f>
        <v>6.45</v>
      </c>
      <c r="F128" s="25" t="str">
        <f>F129</f>
        <v>3 час</v>
      </c>
      <c r="G128" s="26">
        <f t="shared" si="30"/>
        <v>6.778</v>
      </c>
      <c r="H128" s="25">
        <v>0</v>
      </c>
      <c r="I128" s="24">
        <f>1.05*16</f>
        <v>16.8</v>
      </c>
      <c r="J128" s="5">
        <f>I128-G128-H128</f>
        <v>10.022000000000002</v>
      </c>
      <c r="K128" s="86">
        <f>MIN(J128:J130)</f>
        <v>9.905000000000001</v>
      </c>
      <c r="L128" s="89" t="s">
        <v>21</v>
      </c>
      <c r="M128" s="16"/>
      <c r="N128" s="89">
        <v>77</v>
      </c>
      <c r="O128" s="12" t="s">
        <v>169</v>
      </c>
      <c r="P128" s="15" t="s">
        <v>27</v>
      </c>
      <c r="Q128" s="63">
        <f>Q129+Q130</f>
        <v>1.9292</v>
      </c>
      <c r="R128" s="44">
        <f>R129+R130</f>
        <v>15.1572</v>
      </c>
      <c r="S128" s="25">
        <f>S129+S130</f>
        <v>6.45</v>
      </c>
      <c r="T128" s="25" t="str">
        <f>T129</f>
        <v>3 час</v>
      </c>
      <c r="U128" s="26">
        <f t="shared" si="31"/>
        <v>8.7072</v>
      </c>
      <c r="V128" s="25">
        <v>0</v>
      </c>
      <c r="W128" s="24">
        <f>1.05*16</f>
        <v>16.8</v>
      </c>
      <c r="X128" s="5">
        <f>W128-U128-V128</f>
        <v>8.0928</v>
      </c>
      <c r="Y128" s="86">
        <f>MIN(X128:X130)</f>
        <v>7.975800000000001</v>
      </c>
      <c r="Z128" s="89" t="s">
        <v>21</v>
      </c>
    </row>
    <row r="129" spans="1:26" s="1" customFormat="1" ht="22.5">
      <c r="A129" s="130"/>
      <c r="B129" s="27" t="s">
        <v>54</v>
      </c>
      <c r="C129" s="54" t="s">
        <v>27</v>
      </c>
      <c r="D129" s="45">
        <v>6.333</v>
      </c>
      <c r="E129" s="25">
        <v>6.45</v>
      </c>
      <c r="F129" s="25" t="s">
        <v>53</v>
      </c>
      <c r="G129" s="26">
        <v>0</v>
      </c>
      <c r="H129" s="25">
        <v>0</v>
      </c>
      <c r="I129" s="24">
        <f>1.05*16</f>
        <v>16.8</v>
      </c>
      <c r="J129" s="5">
        <f>I129-D129</f>
        <v>10.467</v>
      </c>
      <c r="K129" s="90"/>
      <c r="L129" s="90"/>
      <c r="M129" s="16"/>
      <c r="N129" s="96"/>
      <c r="O129" s="27" t="s">
        <v>54</v>
      </c>
      <c r="P129" s="15" t="s">
        <v>27</v>
      </c>
      <c r="Q129" s="63"/>
      <c r="R129" s="44">
        <f t="shared" si="21"/>
        <v>6.333</v>
      </c>
      <c r="S129" s="25">
        <v>6.45</v>
      </c>
      <c r="T129" s="25" t="s">
        <v>53</v>
      </c>
      <c r="U129" s="26">
        <v>0</v>
      </c>
      <c r="V129" s="25">
        <v>0</v>
      </c>
      <c r="W129" s="24">
        <f>1.05*16</f>
        <v>16.8</v>
      </c>
      <c r="X129" s="5">
        <f>W129-R129</f>
        <v>10.467</v>
      </c>
      <c r="Y129" s="87"/>
      <c r="Z129" s="90"/>
    </row>
    <row r="130" spans="1:26" s="1" customFormat="1" ht="22.5">
      <c r="A130" s="131"/>
      <c r="B130" s="27" t="s">
        <v>41</v>
      </c>
      <c r="C130" s="54" t="s">
        <v>27</v>
      </c>
      <c r="D130" s="45">
        <f>3.675+3.22</f>
        <v>6.895</v>
      </c>
      <c r="E130" s="25">
        <v>0</v>
      </c>
      <c r="F130" s="25">
        <v>0</v>
      </c>
      <c r="G130" s="26">
        <f t="shared" si="30"/>
        <v>6.895</v>
      </c>
      <c r="H130" s="25">
        <v>0</v>
      </c>
      <c r="I130" s="24">
        <f>1.05*16</f>
        <v>16.8</v>
      </c>
      <c r="J130" s="5">
        <f>I130-G130-H130</f>
        <v>9.905000000000001</v>
      </c>
      <c r="K130" s="91"/>
      <c r="L130" s="91"/>
      <c r="M130" s="16"/>
      <c r="N130" s="97"/>
      <c r="O130" s="27" t="s">
        <v>41</v>
      </c>
      <c r="P130" s="15" t="s">
        <v>27</v>
      </c>
      <c r="Q130" s="63">
        <f>0.303+0.012+2.692+0.516+0.01+0.016+0.0306-1.702+0.0048+0.0468</f>
        <v>1.9292</v>
      </c>
      <c r="R130" s="44">
        <f t="shared" si="21"/>
        <v>8.8242</v>
      </c>
      <c r="S130" s="25">
        <v>0</v>
      </c>
      <c r="T130" s="25">
        <v>0</v>
      </c>
      <c r="U130" s="26">
        <f t="shared" si="31"/>
        <v>8.8242</v>
      </c>
      <c r="V130" s="25">
        <v>0</v>
      </c>
      <c r="W130" s="24">
        <f>1.05*16</f>
        <v>16.8</v>
      </c>
      <c r="X130" s="5">
        <f>W130-U130-V130</f>
        <v>7.975800000000001</v>
      </c>
      <c r="Y130" s="88"/>
      <c r="Z130" s="91"/>
    </row>
    <row r="131" spans="1:26" s="1" customFormat="1" ht="22.5">
      <c r="A131" s="18">
        <v>78</v>
      </c>
      <c r="B131" s="12" t="s">
        <v>96</v>
      </c>
      <c r="C131" s="54" t="s">
        <v>26</v>
      </c>
      <c r="D131" s="44">
        <v>3.334</v>
      </c>
      <c r="E131" s="12">
        <v>0</v>
      </c>
      <c r="F131" s="12">
        <v>0</v>
      </c>
      <c r="G131" s="13">
        <f>D131</f>
        <v>3.334</v>
      </c>
      <c r="H131" s="12">
        <v>0</v>
      </c>
      <c r="I131" s="14">
        <f>1.05*6.3</f>
        <v>6.615</v>
      </c>
      <c r="J131" s="13">
        <f aca="true" t="shared" si="32" ref="J131:J162">I131-H131-G131</f>
        <v>3.281</v>
      </c>
      <c r="K131" s="13">
        <f aca="true" t="shared" si="33" ref="K131:K162">J131</f>
        <v>3.281</v>
      </c>
      <c r="L131" s="17" t="s">
        <v>21</v>
      </c>
      <c r="M131" s="16"/>
      <c r="N131" s="12">
        <v>78</v>
      </c>
      <c r="O131" s="12" t="s">
        <v>96</v>
      </c>
      <c r="P131" s="15" t="s">
        <v>26</v>
      </c>
      <c r="Q131" s="63">
        <f>0.043</f>
        <v>0.043</v>
      </c>
      <c r="R131" s="44">
        <f t="shared" si="21"/>
        <v>3.3770000000000002</v>
      </c>
      <c r="S131" s="12">
        <v>0</v>
      </c>
      <c r="T131" s="12">
        <v>0</v>
      </c>
      <c r="U131" s="13">
        <f>R131</f>
        <v>3.3770000000000002</v>
      </c>
      <c r="V131" s="12">
        <v>0</v>
      </c>
      <c r="W131" s="14">
        <f>1.05*6.3</f>
        <v>6.615</v>
      </c>
      <c r="X131" s="13">
        <f aca="true" t="shared" si="34" ref="X131:X162">W131-V131-U131</f>
        <v>3.238</v>
      </c>
      <c r="Y131" s="13">
        <f aca="true" t="shared" si="35" ref="Y131:Y168">X131</f>
        <v>3.238</v>
      </c>
      <c r="Z131" s="12" t="s">
        <v>21</v>
      </c>
    </row>
    <row r="132" spans="1:26" s="1" customFormat="1" ht="22.5">
      <c r="A132" s="18">
        <v>79</v>
      </c>
      <c r="B132" s="12" t="s">
        <v>97</v>
      </c>
      <c r="C132" s="54" t="s">
        <v>26</v>
      </c>
      <c r="D132" s="44">
        <v>3.119</v>
      </c>
      <c r="E132" s="12">
        <v>0</v>
      </c>
      <c r="F132" s="12">
        <v>0</v>
      </c>
      <c r="G132" s="12">
        <f aca="true" t="shared" si="36" ref="G132:G163">D132-E132</f>
        <v>3.119</v>
      </c>
      <c r="H132" s="12">
        <v>0</v>
      </c>
      <c r="I132" s="14">
        <f>1.05*6.3</f>
        <v>6.615</v>
      </c>
      <c r="J132" s="13">
        <f t="shared" si="32"/>
        <v>3.496</v>
      </c>
      <c r="K132" s="13">
        <f t="shared" si="33"/>
        <v>3.496</v>
      </c>
      <c r="L132" s="17" t="s">
        <v>21</v>
      </c>
      <c r="M132" s="16"/>
      <c r="N132" s="12">
        <v>79</v>
      </c>
      <c r="O132" s="12" t="s">
        <v>97</v>
      </c>
      <c r="P132" s="15" t="s">
        <v>26</v>
      </c>
      <c r="Q132" s="63">
        <f>0.003+0.005+0.0161-0.0113+0.0059</f>
        <v>0.0187</v>
      </c>
      <c r="R132" s="44">
        <f t="shared" si="21"/>
        <v>3.1377</v>
      </c>
      <c r="S132" s="12">
        <v>0</v>
      </c>
      <c r="T132" s="12">
        <v>0</v>
      </c>
      <c r="U132" s="12">
        <f aca="true" t="shared" si="37" ref="U132:U163">R132-S132</f>
        <v>3.1377</v>
      </c>
      <c r="V132" s="12">
        <v>0</v>
      </c>
      <c r="W132" s="14">
        <f>1.05*6.3</f>
        <v>6.615</v>
      </c>
      <c r="X132" s="13">
        <f t="shared" si="34"/>
        <v>3.4773</v>
      </c>
      <c r="Y132" s="13">
        <f t="shared" si="35"/>
        <v>3.4773</v>
      </c>
      <c r="Z132" s="12" t="s">
        <v>21</v>
      </c>
    </row>
    <row r="133" spans="1:26" s="1" customFormat="1" ht="22.5">
      <c r="A133" s="18">
        <v>80</v>
      </c>
      <c r="B133" s="12" t="s">
        <v>98</v>
      </c>
      <c r="C133" s="54" t="s">
        <v>25</v>
      </c>
      <c r="D133" s="44">
        <v>0.708</v>
      </c>
      <c r="E133" s="12">
        <v>0</v>
      </c>
      <c r="F133" s="12">
        <v>0</v>
      </c>
      <c r="G133" s="12">
        <f t="shared" si="36"/>
        <v>0.708</v>
      </c>
      <c r="H133" s="12">
        <v>0</v>
      </c>
      <c r="I133" s="14">
        <f>1.05*1.6</f>
        <v>1.6800000000000002</v>
      </c>
      <c r="J133" s="13">
        <f t="shared" si="32"/>
        <v>0.9720000000000002</v>
      </c>
      <c r="K133" s="13">
        <f t="shared" si="33"/>
        <v>0.9720000000000002</v>
      </c>
      <c r="L133" s="17" t="s">
        <v>21</v>
      </c>
      <c r="M133" s="16"/>
      <c r="N133" s="12">
        <v>80</v>
      </c>
      <c r="O133" s="12" t="s">
        <v>98</v>
      </c>
      <c r="P133" s="15" t="s">
        <v>25</v>
      </c>
      <c r="Q133" s="63">
        <f>0.011-0.0032</f>
        <v>0.0078</v>
      </c>
      <c r="R133" s="44">
        <f t="shared" si="21"/>
        <v>0.7158</v>
      </c>
      <c r="S133" s="12">
        <v>0</v>
      </c>
      <c r="T133" s="12">
        <v>0</v>
      </c>
      <c r="U133" s="12">
        <f t="shared" si="37"/>
        <v>0.7158</v>
      </c>
      <c r="V133" s="12">
        <v>0</v>
      </c>
      <c r="W133" s="14">
        <f>1.05*1.6</f>
        <v>1.6800000000000002</v>
      </c>
      <c r="X133" s="13">
        <f t="shared" si="34"/>
        <v>0.9642000000000002</v>
      </c>
      <c r="Y133" s="13">
        <f t="shared" si="35"/>
        <v>0.9642000000000002</v>
      </c>
      <c r="Z133" s="12" t="s">
        <v>21</v>
      </c>
    </row>
    <row r="134" spans="1:26" s="1" customFormat="1" ht="22.5">
      <c r="A134" s="18">
        <v>81</v>
      </c>
      <c r="B134" s="12" t="s">
        <v>99</v>
      </c>
      <c r="C134" s="54" t="s">
        <v>52</v>
      </c>
      <c r="D134" s="44">
        <v>2.533</v>
      </c>
      <c r="E134" s="12">
        <v>0</v>
      </c>
      <c r="F134" s="12">
        <v>0</v>
      </c>
      <c r="G134" s="14">
        <f t="shared" si="36"/>
        <v>2.533</v>
      </c>
      <c r="H134" s="12">
        <v>0</v>
      </c>
      <c r="I134" s="14">
        <f>1.05*3.2</f>
        <v>3.3600000000000003</v>
      </c>
      <c r="J134" s="14">
        <f t="shared" si="32"/>
        <v>0.8270000000000004</v>
      </c>
      <c r="K134" s="14">
        <f t="shared" si="33"/>
        <v>0.8270000000000004</v>
      </c>
      <c r="L134" s="17" t="s">
        <v>21</v>
      </c>
      <c r="M134" s="16"/>
      <c r="N134" s="12">
        <v>81</v>
      </c>
      <c r="O134" s="12" t="s">
        <v>99</v>
      </c>
      <c r="P134" s="15" t="s">
        <v>52</v>
      </c>
      <c r="Q134" s="63">
        <v>0</v>
      </c>
      <c r="R134" s="44">
        <f aca="true" t="shared" si="38" ref="R134:R193">Q134+D134</f>
        <v>2.533</v>
      </c>
      <c r="S134" s="12">
        <v>0</v>
      </c>
      <c r="T134" s="12">
        <v>0</v>
      </c>
      <c r="U134" s="12">
        <f t="shared" si="37"/>
        <v>2.533</v>
      </c>
      <c r="V134" s="12">
        <v>0</v>
      </c>
      <c r="W134" s="14">
        <f>1.05*3.2</f>
        <v>3.3600000000000003</v>
      </c>
      <c r="X134" s="13">
        <f t="shared" si="34"/>
        <v>0.8270000000000004</v>
      </c>
      <c r="Y134" s="13">
        <f t="shared" si="35"/>
        <v>0.8270000000000004</v>
      </c>
      <c r="Z134" s="12" t="s">
        <v>21</v>
      </c>
    </row>
    <row r="135" spans="1:26" s="1" customFormat="1" ht="33.75">
      <c r="A135" s="18">
        <v>82</v>
      </c>
      <c r="B135" s="12" t="s">
        <v>100</v>
      </c>
      <c r="C135" s="54" t="s">
        <v>31</v>
      </c>
      <c r="D135" s="44">
        <v>1.217</v>
      </c>
      <c r="E135" s="12">
        <v>0</v>
      </c>
      <c r="F135" s="12">
        <v>0</v>
      </c>
      <c r="G135" s="12">
        <f t="shared" si="36"/>
        <v>1.217</v>
      </c>
      <c r="H135" s="12">
        <v>0</v>
      </c>
      <c r="I135" s="14">
        <f>1.05*4</f>
        <v>4.2</v>
      </c>
      <c r="J135" s="13">
        <f t="shared" si="32"/>
        <v>2.983</v>
      </c>
      <c r="K135" s="13">
        <f t="shared" si="33"/>
        <v>2.983</v>
      </c>
      <c r="L135" s="17" t="s">
        <v>21</v>
      </c>
      <c r="M135" s="16"/>
      <c r="N135" s="12">
        <v>82</v>
      </c>
      <c r="O135" s="12" t="s">
        <v>100</v>
      </c>
      <c r="P135" s="15" t="s">
        <v>31</v>
      </c>
      <c r="Q135" s="63">
        <f>0.007+0.004+0.003+0.021+0.004+0.002+0.0151+0.0054-0.0102+0.029+0.0161</f>
        <v>0.09640000000000001</v>
      </c>
      <c r="R135" s="44">
        <f t="shared" si="38"/>
        <v>1.3134000000000001</v>
      </c>
      <c r="S135" s="12">
        <v>0</v>
      </c>
      <c r="T135" s="12">
        <v>0</v>
      </c>
      <c r="U135" s="12">
        <f t="shared" si="37"/>
        <v>1.3134000000000001</v>
      </c>
      <c r="V135" s="12">
        <v>0</v>
      </c>
      <c r="W135" s="14">
        <f>1.05*4</f>
        <v>4.2</v>
      </c>
      <c r="X135" s="13">
        <f t="shared" si="34"/>
        <v>2.8866</v>
      </c>
      <c r="Y135" s="13">
        <f t="shared" si="35"/>
        <v>2.8866</v>
      </c>
      <c r="Z135" s="12" t="s">
        <v>21</v>
      </c>
    </row>
    <row r="136" spans="1:26" s="1" customFormat="1" ht="22.5">
      <c r="A136" s="18">
        <v>83</v>
      </c>
      <c r="B136" s="12" t="s">
        <v>101</v>
      </c>
      <c r="C136" s="54" t="s">
        <v>24</v>
      </c>
      <c r="D136" s="44">
        <v>0.425</v>
      </c>
      <c r="E136" s="12">
        <v>0</v>
      </c>
      <c r="F136" s="12">
        <v>0</v>
      </c>
      <c r="G136" s="12">
        <f t="shared" si="36"/>
        <v>0.425</v>
      </c>
      <c r="H136" s="12">
        <v>0</v>
      </c>
      <c r="I136" s="14">
        <f>1.05*2.5</f>
        <v>2.625</v>
      </c>
      <c r="J136" s="14">
        <f t="shared" si="32"/>
        <v>2.2</v>
      </c>
      <c r="K136" s="14">
        <f t="shared" si="33"/>
        <v>2.2</v>
      </c>
      <c r="L136" s="17" t="s">
        <v>21</v>
      </c>
      <c r="M136" s="16"/>
      <c r="N136" s="12">
        <v>83</v>
      </c>
      <c r="O136" s="12" t="s">
        <v>101</v>
      </c>
      <c r="P136" s="15" t="s">
        <v>24</v>
      </c>
      <c r="Q136" s="63">
        <f>0.016+0.0155</f>
        <v>0.0315</v>
      </c>
      <c r="R136" s="44">
        <f t="shared" si="38"/>
        <v>0.4565</v>
      </c>
      <c r="S136" s="12">
        <v>0</v>
      </c>
      <c r="T136" s="12">
        <v>0</v>
      </c>
      <c r="U136" s="12">
        <f t="shared" si="37"/>
        <v>0.4565</v>
      </c>
      <c r="V136" s="12">
        <v>0</v>
      </c>
      <c r="W136" s="14">
        <f>1.05*2.5</f>
        <v>2.625</v>
      </c>
      <c r="X136" s="13">
        <f t="shared" si="34"/>
        <v>2.1685</v>
      </c>
      <c r="Y136" s="13">
        <f t="shared" si="35"/>
        <v>2.1685</v>
      </c>
      <c r="Z136" s="12" t="s">
        <v>21</v>
      </c>
    </row>
    <row r="137" spans="1:26" s="73" customFormat="1" ht="22.5">
      <c r="A137" s="31">
        <v>84</v>
      </c>
      <c r="B137" s="31" t="s">
        <v>102</v>
      </c>
      <c r="C137" s="32" t="s">
        <v>43</v>
      </c>
      <c r="D137" s="46">
        <v>11.35</v>
      </c>
      <c r="E137" s="31">
        <v>0</v>
      </c>
      <c r="F137" s="31">
        <v>0</v>
      </c>
      <c r="G137" s="31">
        <f t="shared" si="36"/>
        <v>11.35</v>
      </c>
      <c r="H137" s="31">
        <v>0</v>
      </c>
      <c r="I137" s="30">
        <f>1.05*6.3</f>
        <v>6.615</v>
      </c>
      <c r="J137" s="29">
        <f t="shared" si="32"/>
        <v>-4.734999999999999</v>
      </c>
      <c r="K137" s="46">
        <f t="shared" si="33"/>
        <v>-4.734999999999999</v>
      </c>
      <c r="L137" s="74" t="s">
        <v>22</v>
      </c>
      <c r="M137" s="71"/>
      <c r="N137" s="31">
        <v>84</v>
      </c>
      <c r="O137" s="31" t="s">
        <v>102</v>
      </c>
      <c r="P137" s="32" t="s">
        <v>43</v>
      </c>
      <c r="Q137" s="64">
        <v>0</v>
      </c>
      <c r="R137" s="46">
        <f t="shared" si="38"/>
        <v>11.35</v>
      </c>
      <c r="S137" s="31">
        <v>0</v>
      </c>
      <c r="T137" s="31">
        <v>0</v>
      </c>
      <c r="U137" s="31">
        <f t="shared" si="37"/>
        <v>11.35</v>
      </c>
      <c r="V137" s="31">
        <v>0</v>
      </c>
      <c r="W137" s="30">
        <f>1.05*6.3</f>
        <v>6.615</v>
      </c>
      <c r="X137" s="29">
        <f t="shared" si="34"/>
        <v>-4.734999999999999</v>
      </c>
      <c r="Y137" s="46">
        <f>X137</f>
        <v>-4.734999999999999</v>
      </c>
      <c r="Z137" s="31" t="s">
        <v>22</v>
      </c>
    </row>
    <row r="138" spans="1:26" s="1" customFormat="1" ht="22.5">
      <c r="A138" s="18">
        <v>85</v>
      </c>
      <c r="B138" s="12" t="s">
        <v>103</v>
      </c>
      <c r="C138" s="54" t="s">
        <v>33</v>
      </c>
      <c r="D138" s="44">
        <v>1.099</v>
      </c>
      <c r="E138" s="12">
        <v>0</v>
      </c>
      <c r="F138" s="12">
        <v>0</v>
      </c>
      <c r="G138" s="12">
        <f t="shared" si="36"/>
        <v>1.099</v>
      </c>
      <c r="H138" s="12">
        <v>0</v>
      </c>
      <c r="I138" s="14">
        <f>1.05*2.5</f>
        <v>2.625</v>
      </c>
      <c r="J138" s="13">
        <f t="shared" si="32"/>
        <v>1.526</v>
      </c>
      <c r="K138" s="13">
        <f t="shared" si="33"/>
        <v>1.526</v>
      </c>
      <c r="L138" s="17" t="s">
        <v>21</v>
      </c>
      <c r="M138" s="16"/>
      <c r="N138" s="12">
        <v>85</v>
      </c>
      <c r="O138" s="12" t="s">
        <v>103</v>
      </c>
      <c r="P138" s="15" t="s">
        <v>33</v>
      </c>
      <c r="Q138" s="63">
        <f>0.013+0.007+0.007+0.0145+0.0161-0.0134+0.0077</f>
        <v>0.051899999999999995</v>
      </c>
      <c r="R138" s="44">
        <f t="shared" si="38"/>
        <v>1.1509</v>
      </c>
      <c r="S138" s="12">
        <v>0</v>
      </c>
      <c r="T138" s="12">
        <v>0</v>
      </c>
      <c r="U138" s="12">
        <f t="shared" si="37"/>
        <v>1.1509</v>
      </c>
      <c r="V138" s="12">
        <v>0</v>
      </c>
      <c r="W138" s="14">
        <f>1.05*2.5</f>
        <v>2.625</v>
      </c>
      <c r="X138" s="13">
        <f t="shared" si="34"/>
        <v>1.4741</v>
      </c>
      <c r="Y138" s="13">
        <f t="shared" si="35"/>
        <v>1.4741</v>
      </c>
      <c r="Z138" s="12" t="s">
        <v>21</v>
      </c>
    </row>
    <row r="139" spans="1:26" s="1" customFormat="1" ht="22.5">
      <c r="A139" s="22">
        <v>86</v>
      </c>
      <c r="B139" s="22" t="s">
        <v>104</v>
      </c>
      <c r="C139" s="23" t="s">
        <v>23</v>
      </c>
      <c r="D139" s="48">
        <v>12.37</v>
      </c>
      <c r="E139" s="22">
        <v>0</v>
      </c>
      <c r="F139" s="22">
        <v>0</v>
      </c>
      <c r="G139" s="22">
        <f t="shared" si="36"/>
        <v>12.37</v>
      </c>
      <c r="H139" s="22">
        <v>0</v>
      </c>
      <c r="I139" s="21">
        <f>1.05*10</f>
        <v>10.5</v>
      </c>
      <c r="J139" s="20">
        <f t="shared" si="32"/>
        <v>-1.8699999999999992</v>
      </c>
      <c r="K139" s="48">
        <f t="shared" si="33"/>
        <v>-1.8699999999999992</v>
      </c>
      <c r="L139" s="19" t="s">
        <v>22</v>
      </c>
      <c r="M139" s="16"/>
      <c r="N139" s="22">
        <v>86</v>
      </c>
      <c r="O139" s="22" t="s">
        <v>104</v>
      </c>
      <c r="P139" s="23" t="s">
        <v>23</v>
      </c>
      <c r="Q139" s="65">
        <v>0</v>
      </c>
      <c r="R139" s="48">
        <f t="shared" si="38"/>
        <v>12.37</v>
      </c>
      <c r="S139" s="22">
        <v>0</v>
      </c>
      <c r="T139" s="22">
        <v>0</v>
      </c>
      <c r="U139" s="22">
        <f t="shared" si="37"/>
        <v>12.37</v>
      </c>
      <c r="V139" s="22">
        <v>0</v>
      </c>
      <c r="W139" s="21">
        <f>1.05*10</f>
        <v>10.5</v>
      </c>
      <c r="X139" s="20">
        <f t="shared" si="34"/>
        <v>-1.8699999999999992</v>
      </c>
      <c r="Y139" s="48">
        <f t="shared" si="35"/>
        <v>-1.8699999999999992</v>
      </c>
      <c r="Z139" s="22" t="s">
        <v>22</v>
      </c>
    </row>
    <row r="140" spans="1:26" s="1" customFormat="1" ht="33.75">
      <c r="A140" s="18">
        <v>87</v>
      </c>
      <c r="B140" s="12" t="s">
        <v>105</v>
      </c>
      <c r="C140" s="54" t="s">
        <v>31</v>
      </c>
      <c r="D140" s="44">
        <v>0.833</v>
      </c>
      <c r="E140" s="12">
        <v>0</v>
      </c>
      <c r="F140" s="12">
        <v>0</v>
      </c>
      <c r="G140" s="12">
        <f t="shared" si="36"/>
        <v>0.833</v>
      </c>
      <c r="H140" s="12">
        <v>0</v>
      </c>
      <c r="I140" s="14">
        <f>1.05*4</f>
        <v>4.2</v>
      </c>
      <c r="J140" s="13">
        <f t="shared" si="32"/>
        <v>3.367</v>
      </c>
      <c r="K140" s="13">
        <f t="shared" si="33"/>
        <v>3.367</v>
      </c>
      <c r="L140" s="17" t="s">
        <v>21</v>
      </c>
      <c r="M140" s="16"/>
      <c r="N140" s="12">
        <v>87</v>
      </c>
      <c r="O140" s="12" t="s">
        <v>105</v>
      </c>
      <c r="P140" s="15" t="s">
        <v>31</v>
      </c>
      <c r="Q140" s="63">
        <f>0.006+0.011+0.005+0.014+0.007+0.016-0.0108+0.0054+0.0161</f>
        <v>0.06970000000000001</v>
      </c>
      <c r="R140" s="44">
        <f t="shared" si="38"/>
        <v>0.9027</v>
      </c>
      <c r="S140" s="12">
        <v>0</v>
      </c>
      <c r="T140" s="12">
        <v>0</v>
      </c>
      <c r="U140" s="12">
        <f t="shared" si="37"/>
        <v>0.9027</v>
      </c>
      <c r="V140" s="12">
        <v>0</v>
      </c>
      <c r="W140" s="14">
        <f>1.05*4</f>
        <v>4.2</v>
      </c>
      <c r="X140" s="13">
        <f t="shared" si="34"/>
        <v>3.2973000000000003</v>
      </c>
      <c r="Y140" s="13">
        <f t="shared" si="35"/>
        <v>3.2973000000000003</v>
      </c>
      <c r="Z140" s="12" t="s">
        <v>21</v>
      </c>
    </row>
    <row r="141" spans="1:26" s="1" customFormat="1" ht="22.5">
      <c r="A141" s="18">
        <v>88</v>
      </c>
      <c r="B141" s="12" t="s">
        <v>106</v>
      </c>
      <c r="C141" s="54" t="s">
        <v>25</v>
      </c>
      <c r="D141" s="44">
        <v>0.253</v>
      </c>
      <c r="E141" s="12">
        <v>0</v>
      </c>
      <c r="F141" s="12">
        <v>0</v>
      </c>
      <c r="G141" s="12">
        <f t="shared" si="36"/>
        <v>0.253</v>
      </c>
      <c r="H141" s="12">
        <v>0</v>
      </c>
      <c r="I141" s="14">
        <f>1.05*1.6</f>
        <v>1.6800000000000002</v>
      </c>
      <c r="J141" s="13">
        <f t="shared" si="32"/>
        <v>1.427</v>
      </c>
      <c r="K141" s="13">
        <f t="shared" si="33"/>
        <v>1.427</v>
      </c>
      <c r="L141" s="17" t="s">
        <v>21</v>
      </c>
      <c r="M141" s="16"/>
      <c r="N141" s="12">
        <v>88</v>
      </c>
      <c r="O141" s="12" t="s">
        <v>106</v>
      </c>
      <c r="P141" s="15" t="s">
        <v>25</v>
      </c>
      <c r="Q141" s="63">
        <v>0</v>
      </c>
      <c r="R141" s="44">
        <f t="shared" si="38"/>
        <v>0.253</v>
      </c>
      <c r="S141" s="12">
        <v>0</v>
      </c>
      <c r="T141" s="12">
        <v>0</v>
      </c>
      <c r="U141" s="12">
        <f t="shared" si="37"/>
        <v>0.253</v>
      </c>
      <c r="V141" s="12">
        <v>0</v>
      </c>
      <c r="W141" s="14">
        <f>1.05*1.6</f>
        <v>1.6800000000000002</v>
      </c>
      <c r="X141" s="13">
        <f t="shared" si="34"/>
        <v>1.427</v>
      </c>
      <c r="Y141" s="13">
        <f t="shared" si="35"/>
        <v>1.427</v>
      </c>
      <c r="Z141" s="12" t="s">
        <v>21</v>
      </c>
    </row>
    <row r="142" spans="1:26" s="1" customFormat="1" ht="22.5">
      <c r="A142" s="18">
        <v>89</v>
      </c>
      <c r="B142" s="12" t="s">
        <v>109</v>
      </c>
      <c r="C142" s="54" t="s">
        <v>31</v>
      </c>
      <c r="D142" s="44">
        <v>1.101</v>
      </c>
      <c r="E142" s="12">
        <v>0</v>
      </c>
      <c r="F142" s="12">
        <v>0</v>
      </c>
      <c r="G142" s="12">
        <f t="shared" si="36"/>
        <v>1.101</v>
      </c>
      <c r="H142" s="12">
        <v>0</v>
      </c>
      <c r="I142" s="14">
        <f>1.05*4</f>
        <v>4.2</v>
      </c>
      <c r="J142" s="13">
        <f t="shared" si="32"/>
        <v>3.099</v>
      </c>
      <c r="K142" s="13">
        <f t="shared" si="33"/>
        <v>3.099</v>
      </c>
      <c r="L142" s="17" t="s">
        <v>21</v>
      </c>
      <c r="M142" s="16"/>
      <c r="N142" s="12">
        <v>89</v>
      </c>
      <c r="O142" s="12" t="s">
        <v>109</v>
      </c>
      <c r="P142" s="15" t="s">
        <v>31</v>
      </c>
      <c r="Q142" s="63">
        <f>0.029+0.008+0.012+0.005+0.008+0.015+0.0054</f>
        <v>0.0824</v>
      </c>
      <c r="R142" s="44">
        <f t="shared" si="38"/>
        <v>1.1834</v>
      </c>
      <c r="S142" s="12">
        <v>0</v>
      </c>
      <c r="T142" s="12">
        <v>0</v>
      </c>
      <c r="U142" s="12">
        <f t="shared" si="37"/>
        <v>1.1834</v>
      </c>
      <c r="V142" s="12">
        <v>0</v>
      </c>
      <c r="W142" s="14">
        <f>1.05*4</f>
        <v>4.2</v>
      </c>
      <c r="X142" s="13">
        <f t="shared" si="34"/>
        <v>3.0166000000000004</v>
      </c>
      <c r="Y142" s="13">
        <f t="shared" si="35"/>
        <v>3.0166000000000004</v>
      </c>
      <c r="Z142" s="12" t="s">
        <v>21</v>
      </c>
    </row>
    <row r="143" spans="1:26" s="1" customFormat="1" ht="22.5">
      <c r="A143" s="18">
        <v>90</v>
      </c>
      <c r="B143" s="12" t="s">
        <v>110</v>
      </c>
      <c r="C143" s="54" t="s">
        <v>38</v>
      </c>
      <c r="D143" s="44">
        <v>1.379</v>
      </c>
      <c r="E143" s="12">
        <v>0</v>
      </c>
      <c r="F143" s="12">
        <v>0</v>
      </c>
      <c r="G143" s="12">
        <f t="shared" si="36"/>
        <v>1.379</v>
      </c>
      <c r="H143" s="12">
        <v>0</v>
      </c>
      <c r="I143" s="14">
        <f>1.05*4</f>
        <v>4.2</v>
      </c>
      <c r="J143" s="13">
        <f t="shared" si="32"/>
        <v>2.821</v>
      </c>
      <c r="K143" s="13">
        <f t="shared" si="33"/>
        <v>2.821</v>
      </c>
      <c r="L143" s="17" t="s">
        <v>21</v>
      </c>
      <c r="M143" s="16"/>
      <c r="N143" s="12">
        <v>90</v>
      </c>
      <c r="O143" s="12" t="s">
        <v>110</v>
      </c>
      <c r="P143" s="15" t="s">
        <v>38</v>
      </c>
      <c r="Q143" s="63">
        <f>0.023+0.003+0.028+0.038+0.005+0.016+0.016-0.028</f>
        <v>0.101</v>
      </c>
      <c r="R143" s="44">
        <f t="shared" si="38"/>
        <v>1.48</v>
      </c>
      <c r="S143" s="12">
        <v>0</v>
      </c>
      <c r="T143" s="12">
        <v>0</v>
      </c>
      <c r="U143" s="12">
        <f t="shared" si="37"/>
        <v>1.48</v>
      </c>
      <c r="V143" s="12">
        <v>0</v>
      </c>
      <c r="W143" s="14">
        <f>1.05*4</f>
        <v>4.2</v>
      </c>
      <c r="X143" s="13">
        <f t="shared" si="34"/>
        <v>2.72</v>
      </c>
      <c r="Y143" s="13">
        <f t="shared" si="35"/>
        <v>2.72</v>
      </c>
      <c r="Z143" s="12" t="s">
        <v>21</v>
      </c>
    </row>
    <row r="144" spans="1:26" s="1" customFormat="1" ht="22.5">
      <c r="A144" s="18">
        <v>91</v>
      </c>
      <c r="B144" s="12" t="s">
        <v>206</v>
      </c>
      <c r="C144" s="54" t="s">
        <v>51</v>
      </c>
      <c r="D144" s="44">
        <v>0.168</v>
      </c>
      <c r="E144" s="12">
        <v>0</v>
      </c>
      <c r="F144" s="12">
        <v>0</v>
      </c>
      <c r="G144" s="12">
        <f t="shared" si="36"/>
        <v>0.168</v>
      </c>
      <c r="H144" s="12">
        <v>0</v>
      </c>
      <c r="I144" s="14">
        <f>1.05*1</f>
        <v>1.05</v>
      </c>
      <c r="J144" s="13">
        <f t="shared" si="32"/>
        <v>0.882</v>
      </c>
      <c r="K144" s="13">
        <f t="shared" si="33"/>
        <v>0.882</v>
      </c>
      <c r="L144" s="17" t="s">
        <v>21</v>
      </c>
      <c r="M144" s="16"/>
      <c r="N144" s="12">
        <v>91</v>
      </c>
      <c r="O144" s="12" t="s">
        <v>111</v>
      </c>
      <c r="P144" s="15" t="s">
        <v>51</v>
      </c>
      <c r="Q144" s="63">
        <f>0.008+0.005+0.008-0.0054+0.0032</f>
        <v>0.0188</v>
      </c>
      <c r="R144" s="44">
        <f t="shared" si="38"/>
        <v>0.18680000000000002</v>
      </c>
      <c r="S144" s="12">
        <v>0</v>
      </c>
      <c r="T144" s="12">
        <v>0</v>
      </c>
      <c r="U144" s="12">
        <f t="shared" si="37"/>
        <v>0.18680000000000002</v>
      </c>
      <c r="V144" s="12">
        <v>0</v>
      </c>
      <c r="W144" s="14">
        <f>1.05*1</f>
        <v>1.05</v>
      </c>
      <c r="X144" s="13">
        <f t="shared" si="34"/>
        <v>0.8632</v>
      </c>
      <c r="Y144" s="13">
        <f t="shared" si="35"/>
        <v>0.8632</v>
      </c>
      <c r="Z144" s="12" t="s">
        <v>21</v>
      </c>
    </row>
    <row r="145" spans="1:26" s="1" customFormat="1" ht="22.5">
      <c r="A145" s="18">
        <v>92</v>
      </c>
      <c r="B145" s="12" t="s">
        <v>113</v>
      </c>
      <c r="C145" s="54" t="s">
        <v>24</v>
      </c>
      <c r="D145" s="44">
        <v>0.258</v>
      </c>
      <c r="E145" s="12">
        <v>0</v>
      </c>
      <c r="F145" s="12">
        <v>0</v>
      </c>
      <c r="G145" s="12">
        <f t="shared" si="36"/>
        <v>0.258</v>
      </c>
      <c r="H145" s="12">
        <v>0</v>
      </c>
      <c r="I145" s="14">
        <f>1.05*2.5</f>
        <v>2.625</v>
      </c>
      <c r="J145" s="13">
        <f t="shared" si="32"/>
        <v>2.367</v>
      </c>
      <c r="K145" s="13">
        <f t="shared" si="33"/>
        <v>2.367</v>
      </c>
      <c r="L145" s="17" t="s">
        <v>21</v>
      </c>
      <c r="M145" s="16"/>
      <c r="N145" s="12">
        <v>92</v>
      </c>
      <c r="O145" s="12" t="s">
        <v>113</v>
      </c>
      <c r="P145" s="15" t="s">
        <v>24</v>
      </c>
      <c r="Q145" s="63">
        <f>0.005+0.005+0.0054</f>
        <v>0.0154</v>
      </c>
      <c r="R145" s="44">
        <f t="shared" si="38"/>
        <v>0.27340000000000003</v>
      </c>
      <c r="S145" s="12">
        <v>0</v>
      </c>
      <c r="T145" s="12">
        <v>0</v>
      </c>
      <c r="U145" s="12">
        <f t="shared" si="37"/>
        <v>0.27340000000000003</v>
      </c>
      <c r="V145" s="12">
        <v>0</v>
      </c>
      <c r="W145" s="14">
        <f>1.05*2.5</f>
        <v>2.625</v>
      </c>
      <c r="X145" s="13">
        <f t="shared" si="34"/>
        <v>2.3516</v>
      </c>
      <c r="Y145" s="13">
        <f t="shared" si="35"/>
        <v>2.3516</v>
      </c>
      <c r="Z145" s="12" t="s">
        <v>21</v>
      </c>
    </row>
    <row r="146" spans="1:26" s="1" customFormat="1" ht="22.5">
      <c r="A146" s="18">
        <v>93</v>
      </c>
      <c r="B146" s="12" t="s">
        <v>114</v>
      </c>
      <c r="C146" s="54" t="s">
        <v>24</v>
      </c>
      <c r="D146" s="44">
        <v>0.805</v>
      </c>
      <c r="E146" s="12">
        <v>0</v>
      </c>
      <c r="F146" s="12">
        <v>0</v>
      </c>
      <c r="G146" s="12">
        <f t="shared" si="36"/>
        <v>0.805</v>
      </c>
      <c r="H146" s="12">
        <v>0</v>
      </c>
      <c r="I146" s="14">
        <f>1.05*2.5</f>
        <v>2.625</v>
      </c>
      <c r="J146" s="13">
        <f t="shared" si="32"/>
        <v>1.8199999999999998</v>
      </c>
      <c r="K146" s="13">
        <f t="shared" si="33"/>
        <v>1.8199999999999998</v>
      </c>
      <c r="L146" s="17" t="s">
        <v>21</v>
      </c>
      <c r="M146" s="16"/>
      <c r="N146" s="12">
        <v>93</v>
      </c>
      <c r="O146" s="12" t="s">
        <v>114</v>
      </c>
      <c r="P146" s="15" t="s">
        <v>24</v>
      </c>
      <c r="Q146" s="63">
        <f>0.004+0.011+0.177+0.01-0.0145+0.5376+0.001</f>
        <v>0.7261</v>
      </c>
      <c r="R146" s="44">
        <f t="shared" si="38"/>
        <v>1.5311</v>
      </c>
      <c r="S146" s="12">
        <v>0</v>
      </c>
      <c r="T146" s="12">
        <v>0</v>
      </c>
      <c r="U146" s="12">
        <f t="shared" si="37"/>
        <v>1.5311</v>
      </c>
      <c r="V146" s="12">
        <v>0</v>
      </c>
      <c r="W146" s="14">
        <f>1.05*2.5</f>
        <v>2.625</v>
      </c>
      <c r="X146" s="13">
        <f t="shared" si="34"/>
        <v>1.0939</v>
      </c>
      <c r="Y146" s="13">
        <f t="shared" si="35"/>
        <v>1.0939</v>
      </c>
      <c r="Z146" s="12" t="s">
        <v>21</v>
      </c>
    </row>
    <row r="147" spans="1:26" s="1" customFormat="1" ht="22.5">
      <c r="A147" s="18">
        <v>94</v>
      </c>
      <c r="B147" s="12" t="s">
        <v>115</v>
      </c>
      <c r="C147" s="54" t="s">
        <v>25</v>
      </c>
      <c r="D147" s="44">
        <v>0.638</v>
      </c>
      <c r="E147" s="12">
        <v>0</v>
      </c>
      <c r="F147" s="12">
        <v>0</v>
      </c>
      <c r="G147" s="12">
        <f t="shared" si="36"/>
        <v>0.638</v>
      </c>
      <c r="H147" s="12">
        <v>0</v>
      </c>
      <c r="I147" s="14">
        <f>1.05*1.6</f>
        <v>1.6800000000000002</v>
      </c>
      <c r="J147" s="13">
        <f t="shared" si="32"/>
        <v>1.0420000000000003</v>
      </c>
      <c r="K147" s="13">
        <f t="shared" si="33"/>
        <v>1.0420000000000003</v>
      </c>
      <c r="L147" s="17" t="s">
        <v>21</v>
      </c>
      <c r="M147" s="16"/>
      <c r="N147" s="12">
        <v>94</v>
      </c>
      <c r="O147" s="12" t="s">
        <v>115</v>
      </c>
      <c r="P147" s="15" t="s">
        <v>25</v>
      </c>
      <c r="Q147" s="63">
        <v>0</v>
      </c>
      <c r="R147" s="44">
        <f t="shared" si="38"/>
        <v>0.638</v>
      </c>
      <c r="S147" s="12">
        <v>0</v>
      </c>
      <c r="T147" s="12">
        <v>0</v>
      </c>
      <c r="U147" s="12">
        <f t="shared" si="37"/>
        <v>0.638</v>
      </c>
      <c r="V147" s="12">
        <v>0</v>
      </c>
      <c r="W147" s="14">
        <f>1.05*1.6</f>
        <v>1.6800000000000002</v>
      </c>
      <c r="X147" s="13">
        <f t="shared" si="34"/>
        <v>1.0420000000000003</v>
      </c>
      <c r="Y147" s="13">
        <f t="shared" si="35"/>
        <v>1.0420000000000003</v>
      </c>
      <c r="Z147" s="12" t="s">
        <v>21</v>
      </c>
    </row>
    <row r="148" spans="1:26" s="1" customFormat="1" ht="22.5">
      <c r="A148" s="18">
        <v>95</v>
      </c>
      <c r="B148" s="12" t="s">
        <v>116</v>
      </c>
      <c r="C148" s="54" t="s">
        <v>26</v>
      </c>
      <c r="D148" s="44">
        <v>5.144</v>
      </c>
      <c r="E148" s="12">
        <v>0</v>
      </c>
      <c r="F148" s="12">
        <v>0</v>
      </c>
      <c r="G148" s="12">
        <f t="shared" si="36"/>
        <v>5.144</v>
      </c>
      <c r="H148" s="12">
        <v>0</v>
      </c>
      <c r="I148" s="14">
        <f>1.05*6.3</f>
        <v>6.615</v>
      </c>
      <c r="J148" s="14">
        <f t="shared" si="32"/>
        <v>1.471</v>
      </c>
      <c r="K148" s="14">
        <f t="shared" si="33"/>
        <v>1.471</v>
      </c>
      <c r="L148" s="17" t="s">
        <v>21</v>
      </c>
      <c r="M148" s="16"/>
      <c r="N148" s="12">
        <v>95</v>
      </c>
      <c r="O148" s="12" t="s">
        <v>116</v>
      </c>
      <c r="P148" s="15" t="s">
        <v>26</v>
      </c>
      <c r="Q148" s="63">
        <f>0.01+0.002+0.016+0.0086-0.0081</f>
        <v>0.0285</v>
      </c>
      <c r="R148" s="44">
        <f t="shared" si="38"/>
        <v>5.1725</v>
      </c>
      <c r="S148" s="12">
        <v>0</v>
      </c>
      <c r="T148" s="12">
        <v>0</v>
      </c>
      <c r="U148" s="12">
        <f t="shared" si="37"/>
        <v>5.1725</v>
      </c>
      <c r="V148" s="12">
        <v>0</v>
      </c>
      <c r="W148" s="14">
        <f>1.05*6.3</f>
        <v>6.615</v>
      </c>
      <c r="X148" s="13">
        <f t="shared" si="34"/>
        <v>1.4425</v>
      </c>
      <c r="Y148" s="13">
        <f t="shared" si="35"/>
        <v>1.4425</v>
      </c>
      <c r="Z148" s="12" t="s">
        <v>21</v>
      </c>
    </row>
    <row r="149" spans="1:26" s="1" customFormat="1" ht="22.5">
      <c r="A149" s="18">
        <v>96</v>
      </c>
      <c r="B149" s="12" t="s">
        <v>117</v>
      </c>
      <c r="C149" s="54" t="s">
        <v>25</v>
      </c>
      <c r="D149" s="44">
        <v>0.86</v>
      </c>
      <c r="E149" s="12">
        <v>0</v>
      </c>
      <c r="F149" s="12">
        <v>0</v>
      </c>
      <c r="G149" s="12">
        <f t="shared" si="36"/>
        <v>0.86</v>
      </c>
      <c r="H149" s="12">
        <v>0</v>
      </c>
      <c r="I149" s="14">
        <f>1.05*1.6</f>
        <v>1.6800000000000002</v>
      </c>
      <c r="J149" s="13">
        <f t="shared" si="32"/>
        <v>0.8200000000000002</v>
      </c>
      <c r="K149" s="13">
        <f t="shared" si="33"/>
        <v>0.8200000000000002</v>
      </c>
      <c r="L149" s="17" t="s">
        <v>21</v>
      </c>
      <c r="M149" s="16"/>
      <c r="N149" s="12">
        <v>96</v>
      </c>
      <c r="O149" s="12" t="s">
        <v>117</v>
      </c>
      <c r="P149" s="15" t="s">
        <v>25</v>
      </c>
      <c r="Q149" s="63">
        <f>0.021+0.003+0.003+0.038+0.022+0.016+0.005-0.0306+0.0161+0.0108</f>
        <v>0.1043</v>
      </c>
      <c r="R149" s="44">
        <f t="shared" si="38"/>
        <v>0.9642999999999999</v>
      </c>
      <c r="S149" s="12">
        <v>0</v>
      </c>
      <c r="T149" s="12">
        <v>0</v>
      </c>
      <c r="U149" s="12">
        <f t="shared" si="37"/>
        <v>0.9642999999999999</v>
      </c>
      <c r="V149" s="12">
        <v>0</v>
      </c>
      <c r="W149" s="14">
        <f>1.05*1.6</f>
        <v>1.6800000000000002</v>
      </c>
      <c r="X149" s="13">
        <f t="shared" si="34"/>
        <v>0.7157000000000002</v>
      </c>
      <c r="Y149" s="13">
        <f t="shared" si="35"/>
        <v>0.7157000000000002</v>
      </c>
      <c r="Z149" s="12" t="s">
        <v>21</v>
      </c>
    </row>
    <row r="150" spans="1:26" s="1" customFormat="1" ht="22.5">
      <c r="A150" s="18">
        <v>97</v>
      </c>
      <c r="B150" s="12" t="s">
        <v>120</v>
      </c>
      <c r="C150" s="54" t="s">
        <v>25</v>
      </c>
      <c r="D150" s="44">
        <v>0.155</v>
      </c>
      <c r="E150" s="12">
        <v>0</v>
      </c>
      <c r="F150" s="12">
        <v>0</v>
      </c>
      <c r="G150" s="12">
        <f t="shared" si="36"/>
        <v>0.155</v>
      </c>
      <c r="H150" s="12">
        <v>0</v>
      </c>
      <c r="I150" s="14">
        <f>1.05*1.6</f>
        <v>1.6800000000000002</v>
      </c>
      <c r="J150" s="13">
        <f t="shared" si="32"/>
        <v>1.5250000000000001</v>
      </c>
      <c r="K150" s="13">
        <f t="shared" si="33"/>
        <v>1.5250000000000001</v>
      </c>
      <c r="L150" s="17" t="s">
        <v>21</v>
      </c>
      <c r="M150" s="16"/>
      <c r="N150" s="12">
        <v>97</v>
      </c>
      <c r="O150" s="12" t="s">
        <v>120</v>
      </c>
      <c r="P150" s="15" t="s">
        <v>25</v>
      </c>
      <c r="Q150" s="63">
        <f>0.005+0.005-0.0048</f>
        <v>0.005200000000000001</v>
      </c>
      <c r="R150" s="44">
        <f t="shared" si="38"/>
        <v>0.1602</v>
      </c>
      <c r="S150" s="12">
        <v>0</v>
      </c>
      <c r="T150" s="12">
        <v>0</v>
      </c>
      <c r="U150" s="12">
        <f t="shared" si="37"/>
        <v>0.1602</v>
      </c>
      <c r="V150" s="12">
        <v>0</v>
      </c>
      <c r="W150" s="14">
        <f>1.05*1.6</f>
        <v>1.6800000000000002</v>
      </c>
      <c r="X150" s="13">
        <f t="shared" si="34"/>
        <v>1.5198</v>
      </c>
      <c r="Y150" s="13">
        <f t="shared" si="35"/>
        <v>1.5198</v>
      </c>
      <c r="Z150" s="12" t="s">
        <v>21</v>
      </c>
    </row>
    <row r="151" spans="1:26" s="1" customFormat="1" ht="22.5">
      <c r="A151" s="18">
        <v>98</v>
      </c>
      <c r="B151" s="12" t="s">
        <v>121</v>
      </c>
      <c r="C151" s="54" t="s">
        <v>31</v>
      </c>
      <c r="D151" s="44">
        <v>0.512</v>
      </c>
      <c r="E151" s="12">
        <v>0</v>
      </c>
      <c r="F151" s="12">
        <v>0</v>
      </c>
      <c r="G151" s="12">
        <f t="shared" si="36"/>
        <v>0.512</v>
      </c>
      <c r="H151" s="12">
        <v>0</v>
      </c>
      <c r="I151" s="14">
        <f>1.05*4</f>
        <v>4.2</v>
      </c>
      <c r="J151" s="13">
        <f t="shared" si="32"/>
        <v>3.688</v>
      </c>
      <c r="K151" s="13">
        <f t="shared" si="33"/>
        <v>3.688</v>
      </c>
      <c r="L151" s="17" t="s">
        <v>21</v>
      </c>
      <c r="M151" s="16"/>
      <c r="N151" s="12">
        <v>98</v>
      </c>
      <c r="O151" s="12" t="s">
        <v>121</v>
      </c>
      <c r="P151" s="15" t="s">
        <v>31</v>
      </c>
      <c r="Q151" s="63">
        <f>0.02-0.0034+0.0538</f>
        <v>0.0704</v>
      </c>
      <c r="R151" s="44">
        <f t="shared" si="38"/>
        <v>0.5824</v>
      </c>
      <c r="S151" s="12">
        <v>0</v>
      </c>
      <c r="T151" s="12">
        <v>0</v>
      </c>
      <c r="U151" s="12">
        <f t="shared" si="37"/>
        <v>0.5824</v>
      </c>
      <c r="V151" s="12">
        <v>0</v>
      </c>
      <c r="W151" s="14">
        <f>1.05*4</f>
        <v>4.2</v>
      </c>
      <c r="X151" s="13">
        <f t="shared" si="34"/>
        <v>3.6176000000000004</v>
      </c>
      <c r="Y151" s="13">
        <f t="shared" si="35"/>
        <v>3.6176000000000004</v>
      </c>
      <c r="Z151" s="12" t="s">
        <v>21</v>
      </c>
    </row>
    <row r="152" spans="1:26" s="1" customFormat="1" ht="22.5">
      <c r="A152" s="18">
        <v>99</v>
      </c>
      <c r="B152" s="12" t="s">
        <v>122</v>
      </c>
      <c r="C152" s="54" t="s">
        <v>33</v>
      </c>
      <c r="D152" s="44">
        <v>0.468</v>
      </c>
      <c r="E152" s="12">
        <v>0</v>
      </c>
      <c r="F152" s="12">
        <v>0</v>
      </c>
      <c r="G152" s="12">
        <f t="shared" si="36"/>
        <v>0.468</v>
      </c>
      <c r="H152" s="12">
        <v>0</v>
      </c>
      <c r="I152" s="14">
        <f>1.05*2.5</f>
        <v>2.625</v>
      </c>
      <c r="J152" s="13">
        <f t="shared" si="32"/>
        <v>2.157</v>
      </c>
      <c r="K152" s="13">
        <f t="shared" si="33"/>
        <v>2.157</v>
      </c>
      <c r="L152" s="17" t="s">
        <v>21</v>
      </c>
      <c r="M152" s="16"/>
      <c r="N152" s="12">
        <v>99</v>
      </c>
      <c r="O152" s="12" t="s">
        <v>122</v>
      </c>
      <c r="P152" s="15" t="s">
        <v>33</v>
      </c>
      <c r="Q152" s="63">
        <f>0.005+0.002+0.011</f>
        <v>0.018</v>
      </c>
      <c r="R152" s="44">
        <f t="shared" si="38"/>
        <v>0.48600000000000004</v>
      </c>
      <c r="S152" s="12">
        <v>0</v>
      </c>
      <c r="T152" s="12">
        <v>0</v>
      </c>
      <c r="U152" s="12">
        <f t="shared" si="37"/>
        <v>0.48600000000000004</v>
      </c>
      <c r="V152" s="12">
        <v>0</v>
      </c>
      <c r="W152" s="14">
        <f>1.05*2.5</f>
        <v>2.625</v>
      </c>
      <c r="X152" s="13">
        <f t="shared" si="34"/>
        <v>2.139</v>
      </c>
      <c r="Y152" s="13">
        <f t="shared" si="35"/>
        <v>2.139</v>
      </c>
      <c r="Z152" s="12" t="s">
        <v>21</v>
      </c>
    </row>
    <row r="153" spans="1:26" s="1" customFormat="1" ht="22.5">
      <c r="A153" s="18">
        <v>100</v>
      </c>
      <c r="B153" s="12" t="s">
        <v>123</v>
      </c>
      <c r="C153" s="54" t="s">
        <v>31</v>
      </c>
      <c r="D153" s="44">
        <v>2.399</v>
      </c>
      <c r="E153" s="12">
        <v>0</v>
      </c>
      <c r="F153" s="12">
        <v>0</v>
      </c>
      <c r="G153" s="12">
        <f t="shared" si="36"/>
        <v>2.399</v>
      </c>
      <c r="H153" s="12">
        <v>0</v>
      </c>
      <c r="I153" s="14">
        <f>1.05*4</f>
        <v>4.2</v>
      </c>
      <c r="J153" s="13">
        <f t="shared" si="32"/>
        <v>1.8010000000000002</v>
      </c>
      <c r="K153" s="13">
        <f t="shared" si="33"/>
        <v>1.8010000000000002</v>
      </c>
      <c r="L153" s="17" t="s">
        <v>21</v>
      </c>
      <c r="M153" s="16"/>
      <c r="N153" s="12">
        <v>100</v>
      </c>
      <c r="O153" s="12" t="s">
        <v>123</v>
      </c>
      <c r="P153" s="15" t="s">
        <v>31</v>
      </c>
      <c r="Q153" s="63">
        <f>0.43+0.005+0.0161-0.4355+0.0054+0.0054+0.0022</f>
        <v>0.028600000000000007</v>
      </c>
      <c r="R153" s="44">
        <f t="shared" si="38"/>
        <v>2.4276</v>
      </c>
      <c r="S153" s="12">
        <v>0</v>
      </c>
      <c r="T153" s="12">
        <v>0</v>
      </c>
      <c r="U153" s="12">
        <f t="shared" si="37"/>
        <v>2.4276</v>
      </c>
      <c r="V153" s="12">
        <v>0</v>
      </c>
      <c r="W153" s="14">
        <f>1.05*4</f>
        <v>4.2</v>
      </c>
      <c r="X153" s="13">
        <f t="shared" si="34"/>
        <v>1.7724000000000002</v>
      </c>
      <c r="Y153" s="13">
        <f t="shared" si="35"/>
        <v>1.7724000000000002</v>
      </c>
      <c r="Z153" s="12" t="s">
        <v>21</v>
      </c>
    </row>
    <row r="154" spans="1:26" s="1" customFormat="1" ht="22.5">
      <c r="A154" s="18">
        <v>101</v>
      </c>
      <c r="B154" s="12" t="s">
        <v>124</v>
      </c>
      <c r="C154" s="54" t="s">
        <v>31</v>
      </c>
      <c r="D154" s="44">
        <v>0.915</v>
      </c>
      <c r="E154" s="12">
        <v>0</v>
      </c>
      <c r="F154" s="12">
        <v>0</v>
      </c>
      <c r="G154" s="12">
        <f t="shared" si="36"/>
        <v>0.915</v>
      </c>
      <c r="H154" s="12">
        <v>0</v>
      </c>
      <c r="I154" s="14">
        <f>1.05*4</f>
        <v>4.2</v>
      </c>
      <c r="J154" s="13">
        <f t="shared" si="32"/>
        <v>3.285</v>
      </c>
      <c r="K154" s="13">
        <f t="shared" si="33"/>
        <v>3.285</v>
      </c>
      <c r="L154" s="17" t="s">
        <v>21</v>
      </c>
      <c r="M154" s="16"/>
      <c r="N154" s="12">
        <v>101</v>
      </c>
      <c r="O154" s="12" t="s">
        <v>124</v>
      </c>
      <c r="P154" s="15" t="s">
        <v>31</v>
      </c>
      <c r="Q154" s="63">
        <f>0.01+0.047</f>
        <v>0.057</v>
      </c>
      <c r="R154" s="44">
        <f t="shared" si="38"/>
        <v>0.9720000000000001</v>
      </c>
      <c r="S154" s="12">
        <v>0</v>
      </c>
      <c r="T154" s="12">
        <v>0</v>
      </c>
      <c r="U154" s="12">
        <f t="shared" si="37"/>
        <v>0.9720000000000001</v>
      </c>
      <c r="V154" s="12">
        <v>0</v>
      </c>
      <c r="W154" s="14">
        <f>1.05*4</f>
        <v>4.2</v>
      </c>
      <c r="X154" s="13">
        <f t="shared" si="34"/>
        <v>3.228</v>
      </c>
      <c r="Y154" s="13">
        <f t="shared" si="35"/>
        <v>3.228</v>
      </c>
      <c r="Z154" s="12" t="s">
        <v>21</v>
      </c>
    </row>
    <row r="155" spans="1:26" s="1" customFormat="1" ht="22.5">
      <c r="A155" s="18">
        <v>102</v>
      </c>
      <c r="B155" s="12" t="s">
        <v>125</v>
      </c>
      <c r="C155" s="54" t="s">
        <v>30</v>
      </c>
      <c r="D155" s="44">
        <v>1.329</v>
      </c>
      <c r="E155" s="12">
        <v>0</v>
      </c>
      <c r="F155" s="12">
        <v>0</v>
      </c>
      <c r="G155" s="12">
        <f t="shared" si="36"/>
        <v>1.329</v>
      </c>
      <c r="H155" s="12">
        <v>0</v>
      </c>
      <c r="I155" s="14">
        <f>1.05*1.6</f>
        <v>1.6800000000000002</v>
      </c>
      <c r="J155" s="13">
        <f t="shared" si="32"/>
        <v>0.3510000000000002</v>
      </c>
      <c r="K155" s="13">
        <f t="shared" si="33"/>
        <v>0.3510000000000002</v>
      </c>
      <c r="L155" s="17" t="s">
        <v>21</v>
      </c>
      <c r="M155" s="16"/>
      <c r="N155" s="12">
        <v>102</v>
      </c>
      <c r="O155" s="12" t="s">
        <v>125</v>
      </c>
      <c r="P155" s="15" t="s">
        <v>30</v>
      </c>
      <c r="Q155" s="63">
        <f>0.052+0.019+0.022+0.017+0.149+0.051+0.043+0.019+0.019+0.0108-0.122+0.028</f>
        <v>0.3078</v>
      </c>
      <c r="R155" s="44">
        <f t="shared" si="38"/>
        <v>1.6368</v>
      </c>
      <c r="S155" s="12">
        <v>0</v>
      </c>
      <c r="T155" s="12">
        <v>0</v>
      </c>
      <c r="U155" s="12">
        <f t="shared" si="37"/>
        <v>1.6368</v>
      </c>
      <c r="V155" s="12">
        <v>0</v>
      </c>
      <c r="W155" s="14">
        <f>1.05*1.6</f>
        <v>1.6800000000000002</v>
      </c>
      <c r="X155" s="13">
        <f t="shared" si="34"/>
        <v>0.04320000000000013</v>
      </c>
      <c r="Y155" s="13">
        <f t="shared" si="35"/>
        <v>0.04320000000000013</v>
      </c>
      <c r="Z155" s="12" t="s">
        <v>21</v>
      </c>
    </row>
    <row r="156" spans="1:26" s="1" customFormat="1" ht="22.5">
      <c r="A156" s="18">
        <v>103</v>
      </c>
      <c r="B156" s="12" t="s">
        <v>126</v>
      </c>
      <c r="C156" s="54" t="s">
        <v>24</v>
      </c>
      <c r="D156" s="44">
        <v>0.711</v>
      </c>
      <c r="E156" s="12">
        <v>0</v>
      </c>
      <c r="F156" s="12">
        <v>0</v>
      </c>
      <c r="G156" s="12">
        <f t="shared" si="36"/>
        <v>0.711</v>
      </c>
      <c r="H156" s="12">
        <v>0</v>
      </c>
      <c r="I156" s="14">
        <f>1.05*2.5</f>
        <v>2.625</v>
      </c>
      <c r="J156" s="13">
        <f t="shared" si="32"/>
        <v>1.9140000000000001</v>
      </c>
      <c r="K156" s="13">
        <f t="shared" si="33"/>
        <v>1.9140000000000001</v>
      </c>
      <c r="L156" s="17" t="s">
        <v>21</v>
      </c>
      <c r="M156" s="16"/>
      <c r="N156" s="12">
        <v>103</v>
      </c>
      <c r="O156" s="12" t="s">
        <v>126</v>
      </c>
      <c r="P156" s="15" t="s">
        <v>24</v>
      </c>
      <c r="Q156" s="63">
        <v>0</v>
      </c>
      <c r="R156" s="44">
        <f t="shared" si="38"/>
        <v>0.711</v>
      </c>
      <c r="S156" s="12">
        <v>0</v>
      </c>
      <c r="T156" s="12">
        <v>0</v>
      </c>
      <c r="U156" s="12">
        <f t="shared" si="37"/>
        <v>0.711</v>
      </c>
      <c r="V156" s="12">
        <v>0</v>
      </c>
      <c r="W156" s="14">
        <f>1.05*2.5</f>
        <v>2.625</v>
      </c>
      <c r="X156" s="13">
        <f t="shared" si="34"/>
        <v>1.9140000000000001</v>
      </c>
      <c r="Y156" s="13">
        <f t="shared" si="35"/>
        <v>1.9140000000000001</v>
      </c>
      <c r="Z156" s="12" t="s">
        <v>21</v>
      </c>
    </row>
    <row r="157" spans="1:26" s="1" customFormat="1" ht="22.5">
      <c r="A157" s="18">
        <v>104</v>
      </c>
      <c r="B157" s="12" t="s">
        <v>127</v>
      </c>
      <c r="C157" s="54" t="s">
        <v>38</v>
      </c>
      <c r="D157" s="44">
        <v>1.511</v>
      </c>
      <c r="E157" s="12">
        <v>0</v>
      </c>
      <c r="F157" s="12">
        <v>0</v>
      </c>
      <c r="G157" s="12">
        <f t="shared" si="36"/>
        <v>1.511</v>
      </c>
      <c r="H157" s="12">
        <v>0</v>
      </c>
      <c r="I157" s="14">
        <f>1.05*4</f>
        <v>4.2</v>
      </c>
      <c r="J157" s="13">
        <f t="shared" si="32"/>
        <v>2.689</v>
      </c>
      <c r="K157" s="13">
        <f t="shared" si="33"/>
        <v>2.689</v>
      </c>
      <c r="L157" s="17" t="s">
        <v>21</v>
      </c>
      <c r="M157" s="16"/>
      <c r="N157" s="12">
        <v>104</v>
      </c>
      <c r="O157" s="12" t="s">
        <v>127</v>
      </c>
      <c r="P157" s="15" t="s">
        <v>38</v>
      </c>
      <c r="Q157" s="63">
        <f>0.02+0.005-0.0151+0.0054</f>
        <v>0.015300000000000001</v>
      </c>
      <c r="R157" s="44">
        <f t="shared" si="38"/>
        <v>1.5263</v>
      </c>
      <c r="S157" s="12">
        <v>0</v>
      </c>
      <c r="T157" s="12">
        <v>0</v>
      </c>
      <c r="U157" s="12">
        <f t="shared" si="37"/>
        <v>1.5263</v>
      </c>
      <c r="V157" s="12">
        <v>0</v>
      </c>
      <c r="W157" s="14">
        <f>1.05*4</f>
        <v>4.2</v>
      </c>
      <c r="X157" s="13">
        <f t="shared" si="34"/>
        <v>2.6737</v>
      </c>
      <c r="Y157" s="13">
        <f t="shared" si="35"/>
        <v>2.6737</v>
      </c>
      <c r="Z157" s="12" t="s">
        <v>21</v>
      </c>
    </row>
    <row r="158" spans="1:26" s="1" customFormat="1" ht="22.5">
      <c r="A158" s="18">
        <v>105</v>
      </c>
      <c r="B158" s="12" t="s">
        <v>128</v>
      </c>
      <c r="C158" s="54" t="s">
        <v>31</v>
      </c>
      <c r="D158" s="44">
        <v>0.835</v>
      </c>
      <c r="E158" s="12">
        <v>0</v>
      </c>
      <c r="F158" s="12">
        <v>0</v>
      </c>
      <c r="G158" s="12">
        <f t="shared" si="36"/>
        <v>0.835</v>
      </c>
      <c r="H158" s="12">
        <v>0</v>
      </c>
      <c r="I158" s="14">
        <f>1.05*4</f>
        <v>4.2</v>
      </c>
      <c r="J158" s="13">
        <f t="shared" si="32"/>
        <v>3.365</v>
      </c>
      <c r="K158" s="13">
        <f t="shared" si="33"/>
        <v>3.365</v>
      </c>
      <c r="L158" s="17" t="s">
        <v>21</v>
      </c>
      <c r="M158" s="16"/>
      <c r="N158" s="12">
        <v>105</v>
      </c>
      <c r="O158" s="12" t="s">
        <v>128</v>
      </c>
      <c r="P158" s="15" t="s">
        <v>31</v>
      </c>
      <c r="Q158" s="63">
        <f>0.01+0.01</f>
        <v>0.02</v>
      </c>
      <c r="R158" s="44">
        <f t="shared" si="38"/>
        <v>0.855</v>
      </c>
      <c r="S158" s="12">
        <v>0</v>
      </c>
      <c r="T158" s="12">
        <v>0</v>
      </c>
      <c r="U158" s="12">
        <f t="shared" si="37"/>
        <v>0.855</v>
      </c>
      <c r="V158" s="12">
        <v>0</v>
      </c>
      <c r="W158" s="14">
        <f>1.05*4</f>
        <v>4.2</v>
      </c>
      <c r="X158" s="13">
        <f t="shared" si="34"/>
        <v>3.345</v>
      </c>
      <c r="Y158" s="13">
        <f t="shared" si="35"/>
        <v>3.345</v>
      </c>
      <c r="Z158" s="12" t="s">
        <v>21</v>
      </c>
    </row>
    <row r="159" spans="1:26" s="1" customFormat="1" ht="22.5">
      <c r="A159" s="18">
        <v>106</v>
      </c>
      <c r="B159" s="12" t="s">
        <v>129</v>
      </c>
      <c r="C159" s="54" t="s">
        <v>26</v>
      </c>
      <c r="D159" s="44">
        <v>3.607</v>
      </c>
      <c r="E159" s="12">
        <v>0</v>
      </c>
      <c r="F159" s="12">
        <v>0</v>
      </c>
      <c r="G159" s="12">
        <f t="shared" si="36"/>
        <v>3.607</v>
      </c>
      <c r="H159" s="12">
        <v>0</v>
      </c>
      <c r="I159" s="14">
        <f>1.05*6.3</f>
        <v>6.615</v>
      </c>
      <c r="J159" s="13">
        <f t="shared" si="32"/>
        <v>3.008</v>
      </c>
      <c r="K159" s="13">
        <f t="shared" si="33"/>
        <v>3.008</v>
      </c>
      <c r="L159" s="17" t="s">
        <v>21</v>
      </c>
      <c r="M159" s="16"/>
      <c r="N159" s="12">
        <v>106</v>
      </c>
      <c r="O159" s="12" t="s">
        <v>129</v>
      </c>
      <c r="P159" s="15" t="s">
        <v>26</v>
      </c>
      <c r="Q159" s="63">
        <f>0.215+0.016+0.013+0.029-0.0161</f>
        <v>0.2569</v>
      </c>
      <c r="R159" s="44">
        <f t="shared" si="38"/>
        <v>3.8639</v>
      </c>
      <c r="S159" s="12">
        <v>0</v>
      </c>
      <c r="T159" s="12">
        <v>0</v>
      </c>
      <c r="U159" s="12">
        <f t="shared" si="37"/>
        <v>3.8639</v>
      </c>
      <c r="V159" s="12">
        <v>0</v>
      </c>
      <c r="W159" s="14">
        <f>1.05*6.3</f>
        <v>6.615</v>
      </c>
      <c r="X159" s="13">
        <f t="shared" si="34"/>
        <v>2.7511</v>
      </c>
      <c r="Y159" s="13">
        <f t="shared" si="35"/>
        <v>2.7511</v>
      </c>
      <c r="Z159" s="12" t="s">
        <v>21</v>
      </c>
    </row>
    <row r="160" spans="1:26" s="1" customFormat="1" ht="22.5">
      <c r="A160" s="22">
        <v>107</v>
      </c>
      <c r="B160" s="22" t="s">
        <v>136</v>
      </c>
      <c r="C160" s="23" t="s">
        <v>44</v>
      </c>
      <c r="D160" s="48">
        <v>2.1</v>
      </c>
      <c r="E160" s="22">
        <v>0</v>
      </c>
      <c r="F160" s="22">
        <v>0</v>
      </c>
      <c r="G160" s="22">
        <f t="shared" si="36"/>
        <v>2.1</v>
      </c>
      <c r="H160" s="22">
        <v>0</v>
      </c>
      <c r="I160" s="21">
        <f>1.05*1.6</f>
        <v>1.6800000000000002</v>
      </c>
      <c r="J160" s="20">
        <f t="shared" si="32"/>
        <v>-0.41999999999999993</v>
      </c>
      <c r="K160" s="48">
        <f t="shared" si="33"/>
        <v>-0.41999999999999993</v>
      </c>
      <c r="L160" s="22" t="s">
        <v>22</v>
      </c>
      <c r="M160" s="16"/>
      <c r="N160" s="22">
        <v>107</v>
      </c>
      <c r="O160" s="22" t="s">
        <v>136</v>
      </c>
      <c r="P160" s="23" t="s">
        <v>44</v>
      </c>
      <c r="Q160" s="65">
        <f>0.037+0.005+0.011+0.005+0.007+0.011+0.0043-0.0443+0.0194+0.0215</f>
        <v>0.07689999999999998</v>
      </c>
      <c r="R160" s="48">
        <f t="shared" si="38"/>
        <v>2.1769000000000003</v>
      </c>
      <c r="S160" s="22">
        <v>0</v>
      </c>
      <c r="T160" s="22">
        <v>0</v>
      </c>
      <c r="U160" s="22">
        <f t="shared" si="37"/>
        <v>2.1769000000000003</v>
      </c>
      <c r="V160" s="22">
        <v>0</v>
      </c>
      <c r="W160" s="21">
        <f>1.05*1.6</f>
        <v>1.6800000000000002</v>
      </c>
      <c r="X160" s="20">
        <f t="shared" si="34"/>
        <v>-0.4969000000000001</v>
      </c>
      <c r="Y160" s="48">
        <f>X160</f>
        <v>-0.4969000000000001</v>
      </c>
      <c r="Z160" s="22" t="s">
        <v>22</v>
      </c>
    </row>
    <row r="161" spans="1:26" s="1" customFormat="1" ht="22.5">
      <c r="A161" s="18">
        <v>108</v>
      </c>
      <c r="B161" s="12" t="s">
        <v>135</v>
      </c>
      <c r="C161" s="54" t="s">
        <v>23</v>
      </c>
      <c r="D161" s="44">
        <v>2.806</v>
      </c>
      <c r="E161" s="12">
        <v>0</v>
      </c>
      <c r="F161" s="12">
        <v>0</v>
      </c>
      <c r="G161" s="12">
        <f t="shared" si="36"/>
        <v>2.806</v>
      </c>
      <c r="H161" s="12">
        <v>0</v>
      </c>
      <c r="I161" s="14">
        <f>1.05*10</f>
        <v>10.5</v>
      </c>
      <c r="J161" s="14">
        <f t="shared" si="32"/>
        <v>7.694</v>
      </c>
      <c r="K161" s="14">
        <f t="shared" si="33"/>
        <v>7.694</v>
      </c>
      <c r="L161" s="17" t="s">
        <v>21</v>
      </c>
      <c r="M161" s="16"/>
      <c r="N161" s="12">
        <v>108</v>
      </c>
      <c r="O161" s="12" t="s">
        <v>135</v>
      </c>
      <c r="P161" s="15" t="s">
        <v>23</v>
      </c>
      <c r="Q161" s="63">
        <v>0</v>
      </c>
      <c r="R161" s="44">
        <f t="shared" si="38"/>
        <v>2.806</v>
      </c>
      <c r="S161" s="12">
        <v>0</v>
      </c>
      <c r="T161" s="12">
        <v>0</v>
      </c>
      <c r="U161" s="12">
        <f t="shared" si="37"/>
        <v>2.806</v>
      </c>
      <c r="V161" s="12">
        <v>0</v>
      </c>
      <c r="W161" s="14">
        <f>1.05*10</f>
        <v>10.5</v>
      </c>
      <c r="X161" s="13">
        <f t="shared" si="34"/>
        <v>7.694</v>
      </c>
      <c r="Y161" s="13">
        <f t="shared" si="35"/>
        <v>7.694</v>
      </c>
      <c r="Z161" s="12" t="s">
        <v>21</v>
      </c>
    </row>
    <row r="162" spans="1:26" s="1" customFormat="1" ht="22.5">
      <c r="A162" s="18">
        <v>109</v>
      </c>
      <c r="B162" s="12" t="s">
        <v>138</v>
      </c>
      <c r="C162" s="54" t="s">
        <v>24</v>
      </c>
      <c r="D162" s="44">
        <v>0.578</v>
      </c>
      <c r="E162" s="12">
        <v>0</v>
      </c>
      <c r="F162" s="12">
        <v>0</v>
      </c>
      <c r="G162" s="12">
        <f t="shared" si="36"/>
        <v>0.578</v>
      </c>
      <c r="H162" s="12">
        <v>0</v>
      </c>
      <c r="I162" s="14">
        <f>1.05*2.5</f>
        <v>2.625</v>
      </c>
      <c r="J162" s="13">
        <f t="shared" si="32"/>
        <v>2.047</v>
      </c>
      <c r="K162" s="13">
        <f t="shared" si="33"/>
        <v>2.047</v>
      </c>
      <c r="L162" s="17" t="s">
        <v>21</v>
      </c>
      <c r="M162" s="16"/>
      <c r="N162" s="12">
        <v>109</v>
      </c>
      <c r="O162" s="12" t="s">
        <v>138</v>
      </c>
      <c r="P162" s="15" t="s">
        <v>24</v>
      </c>
      <c r="Q162" s="63">
        <f>0.051+0.003+0.142+0.142+0.016+0.0038-0.1456+0.2419+0.0161+0.0161</f>
        <v>0.4863</v>
      </c>
      <c r="R162" s="44">
        <f t="shared" si="38"/>
        <v>1.0643</v>
      </c>
      <c r="S162" s="12">
        <v>0</v>
      </c>
      <c r="T162" s="12">
        <v>0</v>
      </c>
      <c r="U162" s="12">
        <f t="shared" si="37"/>
        <v>1.0643</v>
      </c>
      <c r="V162" s="12">
        <v>0</v>
      </c>
      <c r="W162" s="14">
        <f>1.05*2.5</f>
        <v>2.625</v>
      </c>
      <c r="X162" s="13">
        <f t="shared" si="34"/>
        <v>1.5607</v>
      </c>
      <c r="Y162" s="13">
        <f t="shared" si="35"/>
        <v>1.5607</v>
      </c>
      <c r="Z162" s="12" t="s">
        <v>21</v>
      </c>
    </row>
    <row r="163" spans="1:26" s="1" customFormat="1" ht="22.5">
      <c r="A163" s="18">
        <v>110</v>
      </c>
      <c r="B163" s="12" t="s">
        <v>140</v>
      </c>
      <c r="C163" s="54" t="s">
        <v>29</v>
      </c>
      <c r="D163" s="44">
        <v>0.493</v>
      </c>
      <c r="E163" s="12">
        <v>0</v>
      </c>
      <c r="F163" s="12">
        <v>0</v>
      </c>
      <c r="G163" s="12">
        <f t="shared" si="36"/>
        <v>0.493</v>
      </c>
      <c r="H163" s="12">
        <v>0</v>
      </c>
      <c r="I163" s="14">
        <f>1.05*1.6</f>
        <v>1.6800000000000002</v>
      </c>
      <c r="J163" s="13">
        <f aca="true" t="shared" si="39" ref="J163:J193">I163-H163-G163</f>
        <v>1.1870000000000003</v>
      </c>
      <c r="K163" s="13">
        <f aca="true" t="shared" si="40" ref="K163:K193">J163</f>
        <v>1.1870000000000003</v>
      </c>
      <c r="L163" s="17" t="s">
        <v>21</v>
      </c>
      <c r="M163" s="16"/>
      <c r="N163" s="12">
        <v>110</v>
      </c>
      <c r="O163" s="12" t="s">
        <v>140</v>
      </c>
      <c r="P163" s="15" t="s">
        <v>29</v>
      </c>
      <c r="Q163" s="63">
        <f>0.02+0.019+0.016+0.005+0.015-0.0656+0.0244+0.0032</f>
        <v>0.037</v>
      </c>
      <c r="R163" s="44">
        <f t="shared" si="38"/>
        <v>0.53</v>
      </c>
      <c r="S163" s="12">
        <v>0</v>
      </c>
      <c r="T163" s="12">
        <v>0</v>
      </c>
      <c r="U163" s="12">
        <f t="shared" si="37"/>
        <v>0.53</v>
      </c>
      <c r="V163" s="12">
        <v>0</v>
      </c>
      <c r="W163" s="14">
        <f>1.05*1.6</f>
        <v>1.6800000000000002</v>
      </c>
      <c r="X163" s="13">
        <f aca="true" t="shared" si="41" ref="X163:X193">W163-V163-U163</f>
        <v>1.1500000000000001</v>
      </c>
      <c r="Y163" s="13">
        <f t="shared" si="35"/>
        <v>1.1500000000000001</v>
      </c>
      <c r="Z163" s="12" t="s">
        <v>21</v>
      </c>
    </row>
    <row r="164" spans="1:26" s="1" customFormat="1" ht="22.5">
      <c r="A164" s="18">
        <v>111</v>
      </c>
      <c r="B164" s="18" t="s">
        <v>141</v>
      </c>
      <c r="C164" s="54" t="s">
        <v>50</v>
      </c>
      <c r="D164" s="58">
        <v>19.71</v>
      </c>
      <c r="E164" s="18">
        <v>0</v>
      </c>
      <c r="F164" s="18">
        <v>0</v>
      </c>
      <c r="G164" s="18">
        <f aca="true" t="shared" si="42" ref="G164:G193">D164-E164</f>
        <v>19.71</v>
      </c>
      <c r="H164" s="18">
        <v>0</v>
      </c>
      <c r="I164" s="55">
        <f>1.05*32</f>
        <v>33.6</v>
      </c>
      <c r="J164" s="56">
        <f t="shared" si="39"/>
        <v>13.89</v>
      </c>
      <c r="K164" s="56">
        <f t="shared" si="40"/>
        <v>13.89</v>
      </c>
      <c r="L164" s="17" t="s">
        <v>21</v>
      </c>
      <c r="M164" s="16"/>
      <c r="N164" s="12">
        <v>111</v>
      </c>
      <c r="O164" s="12" t="s">
        <v>141</v>
      </c>
      <c r="P164" s="15" t="s">
        <v>50</v>
      </c>
      <c r="Q164" s="63">
        <v>1.226</v>
      </c>
      <c r="R164" s="44">
        <f t="shared" si="38"/>
        <v>20.936</v>
      </c>
      <c r="S164" s="12">
        <v>0</v>
      </c>
      <c r="T164" s="12">
        <v>0</v>
      </c>
      <c r="U164" s="12">
        <f aca="true" t="shared" si="43" ref="U164:U193">R164-S164</f>
        <v>20.936</v>
      </c>
      <c r="V164" s="12">
        <v>0</v>
      </c>
      <c r="W164" s="14">
        <f>1.05*32</f>
        <v>33.6</v>
      </c>
      <c r="X164" s="13">
        <f t="shared" si="41"/>
        <v>12.664000000000001</v>
      </c>
      <c r="Y164" s="13">
        <f t="shared" si="35"/>
        <v>12.664000000000001</v>
      </c>
      <c r="Z164" s="18" t="s">
        <v>21</v>
      </c>
    </row>
    <row r="165" spans="1:26" s="1" customFormat="1" ht="22.5">
      <c r="A165" s="18">
        <v>112</v>
      </c>
      <c r="B165" s="12" t="s">
        <v>142</v>
      </c>
      <c r="C165" s="54" t="s">
        <v>49</v>
      </c>
      <c r="D165" s="44">
        <v>8.3</v>
      </c>
      <c r="E165" s="12">
        <v>0</v>
      </c>
      <c r="F165" s="12">
        <v>0</v>
      </c>
      <c r="G165" s="12">
        <f t="shared" si="42"/>
        <v>8.3</v>
      </c>
      <c r="H165" s="12">
        <v>0</v>
      </c>
      <c r="I165" s="14">
        <f>1.05*11.9</f>
        <v>12.495000000000001</v>
      </c>
      <c r="J165" s="13">
        <f t="shared" si="39"/>
        <v>4.195</v>
      </c>
      <c r="K165" s="13">
        <f t="shared" si="40"/>
        <v>4.195</v>
      </c>
      <c r="L165" s="17" t="s">
        <v>21</v>
      </c>
      <c r="M165" s="16"/>
      <c r="N165" s="12">
        <v>112</v>
      </c>
      <c r="O165" s="12" t="s">
        <v>142</v>
      </c>
      <c r="P165" s="15" t="s">
        <v>49</v>
      </c>
      <c r="Q165" s="63">
        <f>3.785+0.0158</f>
        <v>3.8008</v>
      </c>
      <c r="R165" s="44">
        <f t="shared" si="38"/>
        <v>12.100800000000001</v>
      </c>
      <c r="S165" s="12">
        <v>0</v>
      </c>
      <c r="T165" s="12">
        <v>0</v>
      </c>
      <c r="U165" s="12">
        <f t="shared" si="43"/>
        <v>12.100800000000001</v>
      </c>
      <c r="V165" s="12">
        <v>0</v>
      </c>
      <c r="W165" s="14">
        <f>1.05*11.9</f>
        <v>12.495000000000001</v>
      </c>
      <c r="X165" s="13">
        <f t="shared" si="41"/>
        <v>0.39419999999999966</v>
      </c>
      <c r="Y165" s="13">
        <f t="shared" si="35"/>
        <v>0.39419999999999966</v>
      </c>
      <c r="Z165" s="12" t="s">
        <v>21</v>
      </c>
    </row>
    <row r="166" spans="1:26" s="1" customFormat="1" ht="22.5">
      <c r="A166" s="18">
        <v>113</v>
      </c>
      <c r="B166" s="12" t="s">
        <v>145</v>
      </c>
      <c r="C166" s="54" t="s">
        <v>24</v>
      </c>
      <c r="D166" s="44">
        <v>1.288</v>
      </c>
      <c r="E166" s="12">
        <v>0</v>
      </c>
      <c r="F166" s="12">
        <v>0</v>
      </c>
      <c r="G166" s="12">
        <f t="shared" si="42"/>
        <v>1.288</v>
      </c>
      <c r="H166" s="12">
        <v>0</v>
      </c>
      <c r="I166" s="14">
        <f>1.05*2.5</f>
        <v>2.625</v>
      </c>
      <c r="J166" s="13">
        <f t="shared" si="39"/>
        <v>1.337</v>
      </c>
      <c r="K166" s="13">
        <f t="shared" si="40"/>
        <v>1.337</v>
      </c>
      <c r="L166" s="17" t="s">
        <v>21</v>
      </c>
      <c r="M166" s="16"/>
      <c r="N166" s="12">
        <v>113</v>
      </c>
      <c r="O166" s="12" t="s">
        <v>145</v>
      </c>
      <c r="P166" s="15" t="s">
        <v>24</v>
      </c>
      <c r="Q166" s="63">
        <f>0.052+0.01+0.083+0.0108+0.007+0.0045</f>
        <v>0.16730000000000003</v>
      </c>
      <c r="R166" s="44">
        <f t="shared" si="38"/>
        <v>1.4553</v>
      </c>
      <c r="S166" s="12">
        <v>0</v>
      </c>
      <c r="T166" s="12">
        <v>0</v>
      </c>
      <c r="U166" s="12">
        <f t="shared" si="43"/>
        <v>1.4553</v>
      </c>
      <c r="V166" s="12">
        <v>0</v>
      </c>
      <c r="W166" s="14">
        <f>1.05*2.5</f>
        <v>2.625</v>
      </c>
      <c r="X166" s="13">
        <f t="shared" si="41"/>
        <v>1.1697</v>
      </c>
      <c r="Y166" s="13">
        <f t="shared" si="35"/>
        <v>1.1697</v>
      </c>
      <c r="Z166" s="12" t="s">
        <v>21</v>
      </c>
    </row>
    <row r="167" spans="1:26" s="1" customFormat="1" ht="22.5">
      <c r="A167" s="18">
        <v>114</v>
      </c>
      <c r="B167" s="12" t="s">
        <v>171</v>
      </c>
      <c r="C167" s="54" t="s">
        <v>31</v>
      </c>
      <c r="D167" s="44">
        <v>0.643</v>
      </c>
      <c r="E167" s="12">
        <v>0</v>
      </c>
      <c r="F167" s="12">
        <v>0</v>
      </c>
      <c r="G167" s="12">
        <f t="shared" si="42"/>
        <v>0.643</v>
      </c>
      <c r="H167" s="12">
        <v>0</v>
      </c>
      <c r="I167" s="14">
        <f>1.05*4</f>
        <v>4.2</v>
      </c>
      <c r="J167" s="13">
        <f t="shared" si="39"/>
        <v>3.5570000000000004</v>
      </c>
      <c r="K167" s="13">
        <f t="shared" si="40"/>
        <v>3.5570000000000004</v>
      </c>
      <c r="L167" s="17" t="s">
        <v>21</v>
      </c>
      <c r="M167" s="16"/>
      <c r="N167" s="12">
        <v>114</v>
      </c>
      <c r="O167" s="12" t="s">
        <v>171</v>
      </c>
      <c r="P167" s="15" t="s">
        <v>31</v>
      </c>
      <c r="Q167" s="63">
        <f>0.09+0.005-0.0037+0.0097</f>
        <v>0.101</v>
      </c>
      <c r="R167" s="44">
        <f t="shared" si="38"/>
        <v>0.744</v>
      </c>
      <c r="S167" s="12">
        <v>0</v>
      </c>
      <c r="T167" s="12">
        <v>0</v>
      </c>
      <c r="U167" s="12">
        <f t="shared" si="43"/>
        <v>0.744</v>
      </c>
      <c r="V167" s="12">
        <v>0</v>
      </c>
      <c r="W167" s="14">
        <f>1.05*4</f>
        <v>4.2</v>
      </c>
      <c r="X167" s="13">
        <f t="shared" si="41"/>
        <v>3.4560000000000004</v>
      </c>
      <c r="Y167" s="13">
        <f t="shared" si="35"/>
        <v>3.4560000000000004</v>
      </c>
      <c r="Z167" s="12" t="s">
        <v>21</v>
      </c>
    </row>
    <row r="168" spans="1:26" s="1" customFormat="1" ht="22.5">
      <c r="A168" s="18">
        <v>115</v>
      </c>
      <c r="B168" s="12" t="s">
        <v>174</v>
      </c>
      <c r="C168" s="54" t="s">
        <v>24</v>
      </c>
      <c r="D168" s="44">
        <v>1.023</v>
      </c>
      <c r="E168" s="12">
        <v>0</v>
      </c>
      <c r="F168" s="12">
        <v>0</v>
      </c>
      <c r="G168" s="12">
        <f t="shared" si="42"/>
        <v>1.023</v>
      </c>
      <c r="H168" s="12">
        <v>0</v>
      </c>
      <c r="I168" s="14">
        <f>1.05*2.5</f>
        <v>2.625</v>
      </c>
      <c r="J168" s="13">
        <f t="shared" si="39"/>
        <v>1.602</v>
      </c>
      <c r="K168" s="13">
        <f t="shared" si="40"/>
        <v>1.602</v>
      </c>
      <c r="L168" s="17" t="s">
        <v>21</v>
      </c>
      <c r="M168" s="16"/>
      <c r="N168" s="12">
        <v>115</v>
      </c>
      <c r="O168" s="12" t="s">
        <v>174</v>
      </c>
      <c r="P168" s="15" t="s">
        <v>24</v>
      </c>
      <c r="Q168" s="63">
        <f>0.006+0.002+0.0054-0.0032+0.0693+0.0077</f>
        <v>0.0872</v>
      </c>
      <c r="R168" s="44">
        <f t="shared" si="38"/>
        <v>1.1101999999999999</v>
      </c>
      <c r="S168" s="12">
        <v>0</v>
      </c>
      <c r="T168" s="12">
        <v>0</v>
      </c>
      <c r="U168" s="12">
        <f t="shared" si="43"/>
        <v>1.1101999999999999</v>
      </c>
      <c r="V168" s="12">
        <v>0</v>
      </c>
      <c r="W168" s="14">
        <f>1.05*2.5</f>
        <v>2.625</v>
      </c>
      <c r="X168" s="13">
        <f t="shared" si="41"/>
        <v>1.5148000000000001</v>
      </c>
      <c r="Y168" s="13">
        <f t="shared" si="35"/>
        <v>1.5148000000000001</v>
      </c>
      <c r="Z168" s="12" t="s">
        <v>21</v>
      </c>
    </row>
    <row r="169" spans="1:26" s="1" customFormat="1" ht="22.5">
      <c r="A169" s="18">
        <v>116</v>
      </c>
      <c r="B169" s="12" t="s">
        <v>173</v>
      </c>
      <c r="C169" s="54" t="s">
        <v>25</v>
      </c>
      <c r="D169" s="44">
        <v>0.933</v>
      </c>
      <c r="E169" s="12">
        <v>0</v>
      </c>
      <c r="F169" s="12">
        <v>0</v>
      </c>
      <c r="G169" s="12">
        <f t="shared" si="42"/>
        <v>0.933</v>
      </c>
      <c r="H169" s="12">
        <v>0</v>
      </c>
      <c r="I169" s="14">
        <f>1.05*1.6</f>
        <v>1.6800000000000002</v>
      </c>
      <c r="J169" s="13">
        <f t="shared" si="39"/>
        <v>0.7470000000000001</v>
      </c>
      <c r="K169" s="13">
        <f t="shared" si="40"/>
        <v>0.7470000000000001</v>
      </c>
      <c r="L169" s="17" t="s">
        <v>21</v>
      </c>
      <c r="M169" s="16"/>
      <c r="N169" s="12">
        <v>116</v>
      </c>
      <c r="O169" s="12" t="s">
        <v>173</v>
      </c>
      <c r="P169" s="15" t="s">
        <v>25</v>
      </c>
      <c r="Q169" s="63">
        <f>0.037+0.004+0.002+0.003</f>
        <v>0.046</v>
      </c>
      <c r="R169" s="44">
        <f t="shared" si="38"/>
        <v>0.9790000000000001</v>
      </c>
      <c r="S169" s="12">
        <v>0</v>
      </c>
      <c r="T169" s="12">
        <v>0</v>
      </c>
      <c r="U169" s="12">
        <f t="shared" si="43"/>
        <v>0.9790000000000001</v>
      </c>
      <c r="V169" s="12">
        <v>0</v>
      </c>
      <c r="W169" s="14">
        <f>1.05*1.6</f>
        <v>1.6800000000000002</v>
      </c>
      <c r="X169" s="13">
        <f t="shared" si="41"/>
        <v>0.7010000000000001</v>
      </c>
      <c r="Y169" s="13">
        <f>AA1779</f>
        <v>0</v>
      </c>
      <c r="Z169" s="12" t="s">
        <v>21</v>
      </c>
    </row>
    <row r="170" spans="1:26" s="1" customFormat="1" ht="22.5">
      <c r="A170" s="18">
        <v>117</v>
      </c>
      <c r="B170" s="12" t="s">
        <v>172</v>
      </c>
      <c r="C170" s="54" t="s">
        <v>30</v>
      </c>
      <c r="D170" s="44">
        <v>0.537</v>
      </c>
      <c r="E170" s="12">
        <v>0</v>
      </c>
      <c r="F170" s="12">
        <v>0</v>
      </c>
      <c r="G170" s="12">
        <f t="shared" si="42"/>
        <v>0.537</v>
      </c>
      <c r="H170" s="12">
        <v>0</v>
      </c>
      <c r="I170" s="14">
        <f>1.05*1.6</f>
        <v>1.6800000000000002</v>
      </c>
      <c r="J170" s="13">
        <f t="shared" si="39"/>
        <v>1.1430000000000002</v>
      </c>
      <c r="K170" s="13">
        <f t="shared" si="40"/>
        <v>1.1430000000000002</v>
      </c>
      <c r="L170" s="17" t="s">
        <v>21</v>
      </c>
      <c r="M170" s="16"/>
      <c r="N170" s="12">
        <v>117</v>
      </c>
      <c r="O170" s="12" t="s">
        <v>172</v>
      </c>
      <c r="P170" s="15" t="s">
        <v>30</v>
      </c>
      <c r="Q170" s="63">
        <f>0.022+0.026-0.0177</f>
        <v>0.0303</v>
      </c>
      <c r="R170" s="44">
        <f t="shared" si="38"/>
        <v>0.5673</v>
      </c>
      <c r="S170" s="12">
        <v>0</v>
      </c>
      <c r="T170" s="12">
        <v>0</v>
      </c>
      <c r="U170" s="12">
        <f t="shared" si="43"/>
        <v>0.5673</v>
      </c>
      <c r="V170" s="12">
        <v>0</v>
      </c>
      <c r="W170" s="14">
        <f>1.05*1.6</f>
        <v>1.6800000000000002</v>
      </c>
      <c r="X170" s="13">
        <f t="shared" si="41"/>
        <v>1.1127000000000002</v>
      </c>
      <c r="Y170" s="13">
        <f aca="true" t="shared" si="44" ref="Y170:Y193">X170</f>
        <v>1.1127000000000002</v>
      </c>
      <c r="Z170" s="12" t="s">
        <v>21</v>
      </c>
    </row>
    <row r="171" spans="1:26" s="1" customFormat="1" ht="22.5">
      <c r="A171" s="18">
        <v>118</v>
      </c>
      <c r="B171" s="12" t="s">
        <v>175</v>
      </c>
      <c r="C171" s="54" t="s">
        <v>24</v>
      </c>
      <c r="D171" s="44">
        <v>0.242</v>
      </c>
      <c r="E171" s="12">
        <v>0</v>
      </c>
      <c r="F171" s="12">
        <v>0</v>
      </c>
      <c r="G171" s="12">
        <f t="shared" si="42"/>
        <v>0.242</v>
      </c>
      <c r="H171" s="12">
        <v>0</v>
      </c>
      <c r="I171" s="14">
        <f>1.05*2.5</f>
        <v>2.625</v>
      </c>
      <c r="J171" s="13">
        <f t="shared" si="39"/>
        <v>2.383</v>
      </c>
      <c r="K171" s="13">
        <f t="shared" si="40"/>
        <v>2.383</v>
      </c>
      <c r="L171" s="17" t="s">
        <v>21</v>
      </c>
      <c r="M171" s="16"/>
      <c r="N171" s="12">
        <v>118</v>
      </c>
      <c r="O171" s="12" t="s">
        <v>175</v>
      </c>
      <c r="P171" s="15" t="s">
        <v>24</v>
      </c>
      <c r="Q171" s="63">
        <v>0</v>
      </c>
      <c r="R171" s="44">
        <f t="shared" si="38"/>
        <v>0.242</v>
      </c>
      <c r="S171" s="12">
        <v>0</v>
      </c>
      <c r="T171" s="12">
        <v>0</v>
      </c>
      <c r="U171" s="12">
        <f t="shared" si="43"/>
        <v>0.242</v>
      </c>
      <c r="V171" s="12">
        <v>0</v>
      </c>
      <c r="W171" s="14">
        <f>1.05*2.5</f>
        <v>2.625</v>
      </c>
      <c r="X171" s="13">
        <f t="shared" si="41"/>
        <v>2.383</v>
      </c>
      <c r="Y171" s="13">
        <f t="shared" si="44"/>
        <v>2.383</v>
      </c>
      <c r="Z171" s="12" t="s">
        <v>21</v>
      </c>
    </row>
    <row r="172" spans="1:26" s="1" customFormat="1" ht="22.5">
      <c r="A172" s="18">
        <v>119</v>
      </c>
      <c r="B172" s="12" t="s">
        <v>176</v>
      </c>
      <c r="C172" s="54" t="s">
        <v>39</v>
      </c>
      <c r="D172" s="44">
        <v>1.517</v>
      </c>
      <c r="E172" s="12">
        <v>0</v>
      </c>
      <c r="F172" s="12">
        <v>0</v>
      </c>
      <c r="G172" s="12">
        <f t="shared" si="42"/>
        <v>1.517</v>
      </c>
      <c r="H172" s="12">
        <v>0</v>
      </c>
      <c r="I172" s="14">
        <f>1.05*2.5</f>
        <v>2.625</v>
      </c>
      <c r="J172" s="13">
        <f t="shared" si="39"/>
        <v>1.108</v>
      </c>
      <c r="K172" s="13">
        <f t="shared" si="40"/>
        <v>1.108</v>
      </c>
      <c r="L172" s="17" t="s">
        <v>21</v>
      </c>
      <c r="M172" s="16"/>
      <c r="N172" s="12">
        <v>119</v>
      </c>
      <c r="O172" s="12" t="s">
        <v>176</v>
      </c>
      <c r="P172" s="15" t="s">
        <v>39</v>
      </c>
      <c r="Q172" s="63">
        <f>0.023+0.01+0.003+0.008+0.0054-0.0089+0.0032</f>
        <v>0.04370000000000001</v>
      </c>
      <c r="R172" s="44">
        <f t="shared" si="38"/>
        <v>1.5607</v>
      </c>
      <c r="S172" s="12">
        <v>0</v>
      </c>
      <c r="T172" s="12">
        <v>0</v>
      </c>
      <c r="U172" s="12">
        <f t="shared" si="43"/>
        <v>1.5607</v>
      </c>
      <c r="V172" s="12">
        <v>0</v>
      </c>
      <c r="W172" s="14">
        <f>1.05*2.5</f>
        <v>2.625</v>
      </c>
      <c r="X172" s="13">
        <f t="shared" si="41"/>
        <v>1.0643</v>
      </c>
      <c r="Y172" s="13">
        <f t="shared" si="44"/>
        <v>1.0643</v>
      </c>
      <c r="Z172" s="12" t="s">
        <v>21</v>
      </c>
    </row>
    <row r="173" spans="1:26" s="1" customFormat="1" ht="22.5">
      <c r="A173" s="18">
        <v>120</v>
      </c>
      <c r="B173" s="12" t="s">
        <v>177</v>
      </c>
      <c r="C173" s="54" t="s">
        <v>31</v>
      </c>
      <c r="D173" s="44">
        <v>2.201</v>
      </c>
      <c r="E173" s="12">
        <v>0</v>
      </c>
      <c r="F173" s="12">
        <v>0</v>
      </c>
      <c r="G173" s="12">
        <f t="shared" si="42"/>
        <v>2.201</v>
      </c>
      <c r="H173" s="12">
        <v>0</v>
      </c>
      <c r="I173" s="14">
        <f>1.05*4</f>
        <v>4.2</v>
      </c>
      <c r="J173" s="13">
        <f t="shared" si="39"/>
        <v>1.999</v>
      </c>
      <c r="K173" s="13">
        <f t="shared" si="40"/>
        <v>1.999</v>
      </c>
      <c r="L173" s="17" t="s">
        <v>21</v>
      </c>
      <c r="M173" s="16"/>
      <c r="N173" s="12">
        <v>120</v>
      </c>
      <c r="O173" s="12" t="s">
        <v>177</v>
      </c>
      <c r="P173" s="15" t="s">
        <v>31</v>
      </c>
      <c r="Q173" s="63">
        <f>0.042+0.013+0.011+0.002+0.021+0.016+0.0032-0.0323+0.028+0.0161+0.0032</f>
        <v>0.12319999999999999</v>
      </c>
      <c r="R173" s="44">
        <f t="shared" si="38"/>
        <v>2.3242000000000003</v>
      </c>
      <c r="S173" s="12">
        <v>0</v>
      </c>
      <c r="T173" s="12">
        <v>0</v>
      </c>
      <c r="U173" s="12">
        <f t="shared" si="43"/>
        <v>2.3242000000000003</v>
      </c>
      <c r="V173" s="12">
        <v>0</v>
      </c>
      <c r="W173" s="14">
        <f>1.05*4</f>
        <v>4.2</v>
      </c>
      <c r="X173" s="13">
        <f t="shared" si="41"/>
        <v>1.8758</v>
      </c>
      <c r="Y173" s="13">
        <f t="shared" si="44"/>
        <v>1.8758</v>
      </c>
      <c r="Z173" s="12" t="s">
        <v>21</v>
      </c>
    </row>
    <row r="174" spans="1:26" s="1" customFormat="1" ht="22.5">
      <c r="A174" s="18">
        <v>121</v>
      </c>
      <c r="B174" s="12" t="s">
        <v>178</v>
      </c>
      <c r="C174" s="54" t="s">
        <v>39</v>
      </c>
      <c r="D174" s="44">
        <v>1.167</v>
      </c>
      <c r="E174" s="12">
        <v>0</v>
      </c>
      <c r="F174" s="12">
        <v>0</v>
      </c>
      <c r="G174" s="12">
        <f t="shared" si="42"/>
        <v>1.167</v>
      </c>
      <c r="H174" s="12">
        <v>0</v>
      </c>
      <c r="I174" s="14">
        <f>1.05*2.5</f>
        <v>2.625</v>
      </c>
      <c r="J174" s="13">
        <f t="shared" si="39"/>
        <v>1.458</v>
      </c>
      <c r="K174" s="13">
        <f t="shared" si="40"/>
        <v>1.458</v>
      </c>
      <c r="L174" s="17" t="s">
        <v>21</v>
      </c>
      <c r="M174" s="16"/>
      <c r="N174" s="12">
        <v>121</v>
      </c>
      <c r="O174" s="12" t="s">
        <v>178</v>
      </c>
      <c r="P174" s="15" t="s">
        <v>39</v>
      </c>
      <c r="Q174" s="63">
        <f>0.108+0.005+0.003+0.0032-0.0048</f>
        <v>0.1144</v>
      </c>
      <c r="R174" s="44">
        <f t="shared" si="38"/>
        <v>1.2814</v>
      </c>
      <c r="S174" s="12">
        <v>0</v>
      </c>
      <c r="T174" s="12">
        <v>0</v>
      </c>
      <c r="U174" s="12">
        <f t="shared" si="43"/>
        <v>1.2814</v>
      </c>
      <c r="V174" s="12">
        <v>0</v>
      </c>
      <c r="W174" s="14">
        <f>1.05*2.5</f>
        <v>2.625</v>
      </c>
      <c r="X174" s="13">
        <f t="shared" si="41"/>
        <v>1.3436</v>
      </c>
      <c r="Y174" s="13">
        <f t="shared" si="44"/>
        <v>1.3436</v>
      </c>
      <c r="Z174" s="12" t="s">
        <v>21</v>
      </c>
    </row>
    <row r="175" spans="1:26" s="1" customFormat="1" ht="22.5">
      <c r="A175" s="18">
        <v>122</v>
      </c>
      <c r="B175" s="12" t="s">
        <v>179</v>
      </c>
      <c r="C175" s="54" t="s">
        <v>33</v>
      </c>
      <c r="D175" s="44">
        <v>1.428</v>
      </c>
      <c r="E175" s="12">
        <v>0</v>
      </c>
      <c r="F175" s="12">
        <v>0</v>
      </c>
      <c r="G175" s="12">
        <f t="shared" si="42"/>
        <v>1.428</v>
      </c>
      <c r="H175" s="12">
        <v>0</v>
      </c>
      <c r="I175" s="14">
        <f>1.05*2.5</f>
        <v>2.625</v>
      </c>
      <c r="J175" s="13">
        <f t="shared" si="39"/>
        <v>1.197</v>
      </c>
      <c r="K175" s="13">
        <f t="shared" si="40"/>
        <v>1.197</v>
      </c>
      <c r="L175" s="17" t="s">
        <v>21</v>
      </c>
      <c r="M175" s="16"/>
      <c r="N175" s="12">
        <v>122</v>
      </c>
      <c r="O175" s="12" t="s">
        <v>179</v>
      </c>
      <c r="P175" s="15" t="s">
        <v>33</v>
      </c>
      <c r="Q175" s="63">
        <f>0.005+0.003-0.0032+0.0292</f>
        <v>0.034</v>
      </c>
      <c r="R175" s="44">
        <f t="shared" si="38"/>
        <v>1.462</v>
      </c>
      <c r="S175" s="12">
        <v>0</v>
      </c>
      <c r="T175" s="12">
        <v>0</v>
      </c>
      <c r="U175" s="12">
        <f t="shared" si="43"/>
        <v>1.462</v>
      </c>
      <c r="V175" s="12">
        <v>0</v>
      </c>
      <c r="W175" s="14">
        <f>1.05*2.5</f>
        <v>2.625</v>
      </c>
      <c r="X175" s="13">
        <f t="shared" si="41"/>
        <v>1.163</v>
      </c>
      <c r="Y175" s="13">
        <f t="shared" si="44"/>
        <v>1.163</v>
      </c>
      <c r="Z175" s="12" t="s">
        <v>21</v>
      </c>
    </row>
    <row r="176" spans="1:26" s="1" customFormat="1" ht="22.5">
      <c r="A176" s="18">
        <v>123</v>
      </c>
      <c r="B176" s="12" t="s">
        <v>180</v>
      </c>
      <c r="C176" s="54" t="s">
        <v>25</v>
      </c>
      <c r="D176" s="44">
        <v>1.251</v>
      </c>
      <c r="E176" s="12">
        <v>0</v>
      </c>
      <c r="F176" s="12">
        <v>0</v>
      </c>
      <c r="G176" s="12">
        <f t="shared" si="42"/>
        <v>1.251</v>
      </c>
      <c r="H176" s="12">
        <v>0</v>
      </c>
      <c r="I176" s="14">
        <f>1.05*1.6</f>
        <v>1.6800000000000002</v>
      </c>
      <c r="J176" s="13">
        <f t="shared" si="39"/>
        <v>0.42900000000000027</v>
      </c>
      <c r="K176" s="13">
        <f t="shared" si="40"/>
        <v>0.42900000000000027</v>
      </c>
      <c r="L176" s="17" t="s">
        <v>21</v>
      </c>
      <c r="M176" s="16"/>
      <c r="N176" s="12">
        <v>123</v>
      </c>
      <c r="O176" s="12" t="s">
        <v>180</v>
      </c>
      <c r="P176" s="15" t="s">
        <v>25</v>
      </c>
      <c r="Q176" s="63">
        <f>0.005+0.005+0.005+0.006-0.0161+0.0161</f>
        <v>0.020999999999999998</v>
      </c>
      <c r="R176" s="44">
        <f t="shared" si="38"/>
        <v>1.2719999999999998</v>
      </c>
      <c r="S176" s="12">
        <v>0</v>
      </c>
      <c r="T176" s="12">
        <v>0</v>
      </c>
      <c r="U176" s="12">
        <f t="shared" si="43"/>
        <v>1.2719999999999998</v>
      </c>
      <c r="V176" s="12">
        <v>0</v>
      </c>
      <c r="W176" s="14">
        <f>1.05*1.6</f>
        <v>1.6800000000000002</v>
      </c>
      <c r="X176" s="13">
        <f t="shared" si="41"/>
        <v>0.40800000000000036</v>
      </c>
      <c r="Y176" s="13">
        <f t="shared" si="44"/>
        <v>0.40800000000000036</v>
      </c>
      <c r="Z176" s="12" t="s">
        <v>21</v>
      </c>
    </row>
    <row r="177" spans="1:26" s="1" customFormat="1" ht="22.5">
      <c r="A177" s="18">
        <v>124</v>
      </c>
      <c r="B177" s="12" t="s">
        <v>181</v>
      </c>
      <c r="C177" s="54" t="s">
        <v>25</v>
      </c>
      <c r="D177" s="44">
        <v>1.017</v>
      </c>
      <c r="E177" s="12">
        <v>0</v>
      </c>
      <c r="F177" s="12">
        <v>0</v>
      </c>
      <c r="G177" s="12">
        <f t="shared" si="42"/>
        <v>1.017</v>
      </c>
      <c r="H177" s="12">
        <v>0</v>
      </c>
      <c r="I177" s="14">
        <f>1.05*1.6</f>
        <v>1.6800000000000002</v>
      </c>
      <c r="J177" s="13">
        <f t="shared" si="39"/>
        <v>0.6630000000000003</v>
      </c>
      <c r="K177" s="13">
        <f t="shared" si="40"/>
        <v>0.6630000000000003</v>
      </c>
      <c r="L177" s="17" t="s">
        <v>21</v>
      </c>
      <c r="M177" s="16"/>
      <c r="N177" s="12">
        <v>124</v>
      </c>
      <c r="O177" s="12" t="s">
        <v>181</v>
      </c>
      <c r="P177" s="15" t="s">
        <v>25</v>
      </c>
      <c r="Q177" s="63">
        <f>0.024+0.005-0.0083+0.0054</f>
        <v>0.026100000000000005</v>
      </c>
      <c r="R177" s="44">
        <f t="shared" si="38"/>
        <v>1.0431</v>
      </c>
      <c r="S177" s="12">
        <v>0</v>
      </c>
      <c r="T177" s="12">
        <v>0</v>
      </c>
      <c r="U177" s="12">
        <f t="shared" si="43"/>
        <v>1.0431</v>
      </c>
      <c r="V177" s="12">
        <v>0</v>
      </c>
      <c r="W177" s="14">
        <f>1.05*1.6</f>
        <v>1.6800000000000002</v>
      </c>
      <c r="X177" s="13">
        <f t="shared" si="41"/>
        <v>0.6369000000000002</v>
      </c>
      <c r="Y177" s="13">
        <f t="shared" si="44"/>
        <v>0.6369000000000002</v>
      </c>
      <c r="Z177" s="12" t="s">
        <v>21</v>
      </c>
    </row>
    <row r="178" spans="1:26" s="1" customFormat="1" ht="22.5">
      <c r="A178" s="18">
        <v>125</v>
      </c>
      <c r="B178" s="12" t="s">
        <v>182</v>
      </c>
      <c r="C178" s="54" t="s">
        <v>24</v>
      </c>
      <c r="D178" s="44">
        <v>1.33</v>
      </c>
      <c r="E178" s="12">
        <v>0</v>
      </c>
      <c r="F178" s="12">
        <v>0</v>
      </c>
      <c r="G178" s="12">
        <f t="shared" si="42"/>
        <v>1.33</v>
      </c>
      <c r="H178" s="12">
        <v>0</v>
      </c>
      <c r="I178" s="14">
        <f>1.05*2.5</f>
        <v>2.625</v>
      </c>
      <c r="J178" s="13">
        <f t="shared" si="39"/>
        <v>1.295</v>
      </c>
      <c r="K178" s="13">
        <f t="shared" si="40"/>
        <v>1.295</v>
      </c>
      <c r="L178" s="17" t="s">
        <v>21</v>
      </c>
      <c r="M178" s="16"/>
      <c r="N178" s="12">
        <v>125</v>
      </c>
      <c r="O178" s="12" t="s">
        <v>182</v>
      </c>
      <c r="P178" s="15" t="s">
        <v>24</v>
      </c>
      <c r="Q178" s="63">
        <f>0.015+0.01+0.005+0.008+0.012+0.009+0.005+0.003+0.022+0.0118-0.0374+0.0048+0.0019</f>
        <v>0.0701</v>
      </c>
      <c r="R178" s="44">
        <f t="shared" si="38"/>
        <v>1.4001000000000001</v>
      </c>
      <c r="S178" s="12">
        <v>0</v>
      </c>
      <c r="T178" s="12">
        <v>0</v>
      </c>
      <c r="U178" s="12">
        <f t="shared" si="43"/>
        <v>1.4001000000000001</v>
      </c>
      <c r="V178" s="12">
        <v>0</v>
      </c>
      <c r="W178" s="14">
        <f>1.05*2.5</f>
        <v>2.625</v>
      </c>
      <c r="X178" s="13">
        <f t="shared" si="41"/>
        <v>1.2248999999999999</v>
      </c>
      <c r="Y178" s="13">
        <f t="shared" si="44"/>
        <v>1.2248999999999999</v>
      </c>
      <c r="Z178" s="12" t="s">
        <v>21</v>
      </c>
    </row>
    <row r="179" spans="1:26" s="1" customFormat="1" ht="22.5">
      <c r="A179" s="18">
        <v>126</v>
      </c>
      <c r="B179" s="12" t="s">
        <v>183</v>
      </c>
      <c r="C179" s="54" t="s">
        <v>30</v>
      </c>
      <c r="D179" s="44">
        <v>0.806</v>
      </c>
      <c r="E179" s="12">
        <v>0</v>
      </c>
      <c r="F179" s="12">
        <v>0</v>
      </c>
      <c r="G179" s="12">
        <f t="shared" si="42"/>
        <v>0.806</v>
      </c>
      <c r="H179" s="12">
        <v>0</v>
      </c>
      <c r="I179" s="14">
        <f>1.05*1.6</f>
        <v>1.6800000000000002</v>
      </c>
      <c r="J179" s="13">
        <f t="shared" si="39"/>
        <v>0.8740000000000001</v>
      </c>
      <c r="K179" s="13">
        <f t="shared" si="40"/>
        <v>0.8740000000000001</v>
      </c>
      <c r="L179" s="17" t="s">
        <v>21</v>
      </c>
      <c r="M179" s="16"/>
      <c r="N179" s="12">
        <v>126</v>
      </c>
      <c r="O179" s="12" t="s">
        <v>183</v>
      </c>
      <c r="P179" s="15" t="s">
        <v>30</v>
      </c>
      <c r="Q179" s="63">
        <f>0.016+0.019+0.006+0.011+0.0054-0.0535</f>
        <v>0.0039000000000000076</v>
      </c>
      <c r="R179" s="44">
        <f t="shared" si="38"/>
        <v>0.8099000000000001</v>
      </c>
      <c r="S179" s="12">
        <v>0</v>
      </c>
      <c r="T179" s="12">
        <v>0</v>
      </c>
      <c r="U179" s="12">
        <f t="shared" si="43"/>
        <v>0.8099000000000001</v>
      </c>
      <c r="V179" s="12">
        <v>0</v>
      </c>
      <c r="W179" s="14">
        <f>1.05*1.6</f>
        <v>1.6800000000000002</v>
      </c>
      <c r="X179" s="13">
        <f t="shared" si="41"/>
        <v>0.8701000000000001</v>
      </c>
      <c r="Y179" s="13">
        <f t="shared" si="44"/>
        <v>0.8701000000000001</v>
      </c>
      <c r="Z179" s="12" t="s">
        <v>21</v>
      </c>
    </row>
    <row r="180" spans="1:26" s="1" customFormat="1" ht="22.5">
      <c r="A180" s="18">
        <v>127</v>
      </c>
      <c r="B180" s="12" t="s">
        <v>184</v>
      </c>
      <c r="C180" s="54" t="s">
        <v>30</v>
      </c>
      <c r="D180" s="44">
        <v>0.939</v>
      </c>
      <c r="E180" s="12">
        <v>0</v>
      </c>
      <c r="F180" s="12">
        <v>0</v>
      </c>
      <c r="G180" s="12">
        <f t="shared" si="42"/>
        <v>0.939</v>
      </c>
      <c r="H180" s="12">
        <v>0</v>
      </c>
      <c r="I180" s="14">
        <f>1.05*1.6</f>
        <v>1.6800000000000002</v>
      </c>
      <c r="J180" s="13">
        <f t="shared" si="39"/>
        <v>0.7410000000000002</v>
      </c>
      <c r="K180" s="13">
        <f t="shared" si="40"/>
        <v>0.7410000000000002</v>
      </c>
      <c r="L180" s="17" t="s">
        <v>21</v>
      </c>
      <c r="M180" s="16"/>
      <c r="N180" s="12">
        <v>127</v>
      </c>
      <c r="O180" s="12" t="s">
        <v>184</v>
      </c>
      <c r="P180" s="15" t="s">
        <v>30</v>
      </c>
      <c r="Q180" s="63">
        <f>0.016+0.002-0.0073</f>
        <v>0.010700000000000001</v>
      </c>
      <c r="R180" s="44">
        <f t="shared" si="38"/>
        <v>0.9497</v>
      </c>
      <c r="S180" s="12">
        <v>0</v>
      </c>
      <c r="T180" s="12">
        <v>0</v>
      </c>
      <c r="U180" s="12">
        <f t="shared" si="43"/>
        <v>0.9497</v>
      </c>
      <c r="V180" s="12">
        <v>0</v>
      </c>
      <c r="W180" s="14">
        <f>1.05*1.6</f>
        <v>1.6800000000000002</v>
      </c>
      <c r="X180" s="13">
        <f t="shared" si="41"/>
        <v>0.7303000000000002</v>
      </c>
      <c r="Y180" s="13">
        <f t="shared" si="44"/>
        <v>0.7303000000000002</v>
      </c>
      <c r="Z180" s="12" t="s">
        <v>21</v>
      </c>
    </row>
    <row r="181" spans="1:26" s="1" customFormat="1" ht="22.5">
      <c r="A181" s="18">
        <v>128</v>
      </c>
      <c r="B181" s="12" t="s">
        <v>185</v>
      </c>
      <c r="C181" s="54" t="s">
        <v>24</v>
      </c>
      <c r="D181" s="44">
        <v>0.268</v>
      </c>
      <c r="E181" s="12">
        <v>0</v>
      </c>
      <c r="F181" s="12">
        <v>0</v>
      </c>
      <c r="G181" s="12">
        <f t="shared" si="42"/>
        <v>0.268</v>
      </c>
      <c r="H181" s="12">
        <v>0</v>
      </c>
      <c r="I181" s="14">
        <f>1.05*2.5</f>
        <v>2.625</v>
      </c>
      <c r="J181" s="13">
        <f t="shared" si="39"/>
        <v>2.357</v>
      </c>
      <c r="K181" s="13">
        <f t="shared" si="40"/>
        <v>2.357</v>
      </c>
      <c r="L181" s="17" t="s">
        <v>21</v>
      </c>
      <c r="M181" s="16"/>
      <c r="N181" s="12">
        <v>128</v>
      </c>
      <c r="O181" s="12" t="s">
        <v>185</v>
      </c>
      <c r="P181" s="15" t="s">
        <v>24</v>
      </c>
      <c r="Q181" s="63">
        <f>0.013+0.005+0.007+0.0032</f>
        <v>0.0282</v>
      </c>
      <c r="R181" s="44">
        <f t="shared" si="38"/>
        <v>0.2962</v>
      </c>
      <c r="S181" s="12">
        <v>0</v>
      </c>
      <c r="T181" s="12">
        <v>0</v>
      </c>
      <c r="U181" s="12">
        <f t="shared" si="43"/>
        <v>0.2962</v>
      </c>
      <c r="V181" s="12">
        <v>0</v>
      </c>
      <c r="W181" s="14">
        <f>1.05*2.5</f>
        <v>2.625</v>
      </c>
      <c r="X181" s="13">
        <f t="shared" si="41"/>
        <v>2.3288</v>
      </c>
      <c r="Y181" s="13">
        <f t="shared" si="44"/>
        <v>2.3288</v>
      </c>
      <c r="Z181" s="12" t="s">
        <v>21</v>
      </c>
    </row>
    <row r="182" spans="1:26" s="1" customFormat="1" ht="22.5">
      <c r="A182" s="18">
        <v>129</v>
      </c>
      <c r="B182" s="12" t="s">
        <v>186</v>
      </c>
      <c r="C182" s="54" t="s">
        <v>31</v>
      </c>
      <c r="D182" s="44">
        <v>3.559</v>
      </c>
      <c r="E182" s="12">
        <v>0</v>
      </c>
      <c r="F182" s="12">
        <v>0</v>
      </c>
      <c r="G182" s="12">
        <f t="shared" si="42"/>
        <v>3.559</v>
      </c>
      <c r="H182" s="12">
        <v>0</v>
      </c>
      <c r="I182" s="14">
        <f>1.05*4</f>
        <v>4.2</v>
      </c>
      <c r="J182" s="13">
        <f t="shared" si="39"/>
        <v>0.641</v>
      </c>
      <c r="K182" s="13">
        <f t="shared" si="40"/>
        <v>0.641</v>
      </c>
      <c r="L182" s="17" t="s">
        <v>21</v>
      </c>
      <c r="M182" s="16"/>
      <c r="N182" s="12">
        <v>129</v>
      </c>
      <c r="O182" s="12" t="s">
        <v>186</v>
      </c>
      <c r="P182" s="15" t="s">
        <v>31</v>
      </c>
      <c r="Q182" s="63">
        <f>0.025+0.001+0.011+0.013+0.011+0.011-0.053</f>
        <v>0.018999999999999996</v>
      </c>
      <c r="R182" s="44">
        <f t="shared" si="38"/>
        <v>3.5780000000000003</v>
      </c>
      <c r="S182" s="12">
        <v>0</v>
      </c>
      <c r="T182" s="12">
        <v>0</v>
      </c>
      <c r="U182" s="12">
        <f t="shared" si="43"/>
        <v>3.5780000000000003</v>
      </c>
      <c r="V182" s="12">
        <v>0</v>
      </c>
      <c r="W182" s="14">
        <f>1.05*4</f>
        <v>4.2</v>
      </c>
      <c r="X182" s="13">
        <f t="shared" si="41"/>
        <v>0.6219999999999999</v>
      </c>
      <c r="Y182" s="13">
        <f t="shared" si="44"/>
        <v>0.6219999999999999</v>
      </c>
      <c r="Z182" s="12" t="s">
        <v>21</v>
      </c>
    </row>
    <row r="183" spans="1:26" s="1" customFormat="1" ht="22.5">
      <c r="A183" s="18">
        <v>130</v>
      </c>
      <c r="B183" s="12" t="s">
        <v>187</v>
      </c>
      <c r="C183" s="54" t="s">
        <v>30</v>
      </c>
      <c r="D183" s="44">
        <v>0.531</v>
      </c>
      <c r="E183" s="12">
        <v>0</v>
      </c>
      <c r="F183" s="12">
        <v>0</v>
      </c>
      <c r="G183" s="12">
        <f t="shared" si="42"/>
        <v>0.531</v>
      </c>
      <c r="H183" s="12">
        <v>0</v>
      </c>
      <c r="I183" s="14">
        <f>1.05*1.6</f>
        <v>1.6800000000000002</v>
      </c>
      <c r="J183" s="13">
        <f t="shared" si="39"/>
        <v>1.149</v>
      </c>
      <c r="K183" s="13">
        <f t="shared" si="40"/>
        <v>1.149</v>
      </c>
      <c r="L183" s="17" t="s">
        <v>21</v>
      </c>
      <c r="M183" s="16"/>
      <c r="N183" s="12">
        <v>130</v>
      </c>
      <c r="O183" s="12" t="s">
        <v>187</v>
      </c>
      <c r="P183" s="15" t="s">
        <v>30</v>
      </c>
      <c r="Q183" s="63">
        <f>0.021+0.005-0.0013</f>
        <v>0.024700000000000003</v>
      </c>
      <c r="R183" s="44">
        <f t="shared" si="38"/>
        <v>0.5557000000000001</v>
      </c>
      <c r="S183" s="12">
        <v>0</v>
      </c>
      <c r="T183" s="12">
        <v>0</v>
      </c>
      <c r="U183" s="12">
        <f t="shared" si="43"/>
        <v>0.5557000000000001</v>
      </c>
      <c r="V183" s="12">
        <v>0</v>
      </c>
      <c r="W183" s="14">
        <f>1.05*1.6</f>
        <v>1.6800000000000002</v>
      </c>
      <c r="X183" s="13">
        <f t="shared" si="41"/>
        <v>1.1243</v>
      </c>
      <c r="Y183" s="13">
        <f t="shared" si="44"/>
        <v>1.1243</v>
      </c>
      <c r="Z183" s="12" t="s">
        <v>21</v>
      </c>
    </row>
    <row r="184" spans="1:26" s="1" customFormat="1" ht="22.5">
      <c r="A184" s="18">
        <v>131</v>
      </c>
      <c r="B184" s="12" t="s">
        <v>189</v>
      </c>
      <c r="C184" s="54" t="s">
        <v>24</v>
      </c>
      <c r="D184" s="44">
        <v>0.563</v>
      </c>
      <c r="E184" s="12">
        <v>0</v>
      </c>
      <c r="F184" s="12">
        <v>0</v>
      </c>
      <c r="G184" s="12">
        <f t="shared" si="42"/>
        <v>0.563</v>
      </c>
      <c r="H184" s="12">
        <v>0</v>
      </c>
      <c r="I184" s="14">
        <f>1.05*2.5</f>
        <v>2.625</v>
      </c>
      <c r="J184" s="13">
        <f t="shared" si="39"/>
        <v>2.0620000000000003</v>
      </c>
      <c r="K184" s="13">
        <f t="shared" si="40"/>
        <v>2.0620000000000003</v>
      </c>
      <c r="L184" s="17" t="s">
        <v>21</v>
      </c>
      <c r="M184" s="16"/>
      <c r="N184" s="12">
        <v>131</v>
      </c>
      <c r="O184" s="12" t="s">
        <v>189</v>
      </c>
      <c r="P184" s="15" t="s">
        <v>24</v>
      </c>
      <c r="Q184" s="63">
        <f>0.001+0.016+0.005-0.014</f>
        <v>0.008000000000000002</v>
      </c>
      <c r="R184" s="44">
        <f t="shared" si="38"/>
        <v>0.571</v>
      </c>
      <c r="S184" s="12">
        <v>0</v>
      </c>
      <c r="T184" s="12">
        <v>0</v>
      </c>
      <c r="U184" s="12">
        <f t="shared" si="43"/>
        <v>0.571</v>
      </c>
      <c r="V184" s="12">
        <v>0</v>
      </c>
      <c r="W184" s="14">
        <f>1.05*2.5</f>
        <v>2.625</v>
      </c>
      <c r="X184" s="13">
        <f t="shared" si="41"/>
        <v>2.0540000000000003</v>
      </c>
      <c r="Y184" s="13">
        <f t="shared" si="44"/>
        <v>2.0540000000000003</v>
      </c>
      <c r="Z184" s="12" t="s">
        <v>21</v>
      </c>
    </row>
    <row r="185" spans="1:26" s="1" customFormat="1" ht="22.5">
      <c r="A185" s="18">
        <v>132</v>
      </c>
      <c r="B185" s="12" t="s">
        <v>191</v>
      </c>
      <c r="C185" s="54" t="s">
        <v>26</v>
      </c>
      <c r="D185" s="44">
        <v>5.093</v>
      </c>
      <c r="E185" s="12">
        <v>0</v>
      </c>
      <c r="F185" s="12">
        <v>0</v>
      </c>
      <c r="G185" s="12">
        <f t="shared" si="42"/>
        <v>5.093</v>
      </c>
      <c r="H185" s="12">
        <v>0</v>
      </c>
      <c r="I185" s="14">
        <f>1.05*6.3</f>
        <v>6.615</v>
      </c>
      <c r="J185" s="13">
        <f t="shared" si="39"/>
        <v>1.5220000000000002</v>
      </c>
      <c r="K185" s="13">
        <f t="shared" si="40"/>
        <v>1.5220000000000002</v>
      </c>
      <c r="L185" s="17" t="s">
        <v>21</v>
      </c>
      <c r="M185" s="16"/>
      <c r="N185" s="12">
        <v>132</v>
      </c>
      <c r="O185" s="12" t="s">
        <v>191</v>
      </c>
      <c r="P185" s="15" t="s">
        <v>26</v>
      </c>
      <c r="Q185" s="63">
        <f>0.044+0.016+0.005+0.015+0.0151-0.0231</f>
        <v>0.07200000000000001</v>
      </c>
      <c r="R185" s="44">
        <f t="shared" si="38"/>
        <v>5.165</v>
      </c>
      <c r="S185" s="12">
        <v>0</v>
      </c>
      <c r="T185" s="12">
        <v>0</v>
      </c>
      <c r="U185" s="12">
        <f t="shared" si="43"/>
        <v>5.165</v>
      </c>
      <c r="V185" s="12">
        <v>0</v>
      </c>
      <c r="W185" s="14">
        <f>1.05*6.3</f>
        <v>6.615</v>
      </c>
      <c r="X185" s="13">
        <f t="shared" si="41"/>
        <v>1.4500000000000002</v>
      </c>
      <c r="Y185" s="13">
        <f t="shared" si="44"/>
        <v>1.4500000000000002</v>
      </c>
      <c r="Z185" s="12" t="s">
        <v>21</v>
      </c>
    </row>
    <row r="186" spans="1:26" s="1" customFormat="1" ht="22.5">
      <c r="A186" s="18">
        <v>133</v>
      </c>
      <c r="B186" s="12" t="s">
        <v>193</v>
      </c>
      <c r="C186" s="54" t="s">
        <v>24</v>
      </c>
      <c r="D186" s="44">
        <v>0.797</v>
      </c>
      <c r="E186" s="12">
        <v>0</v>
      </c>
      <c r="F186" s="12">
        <v>0</v>
      </c>
      <c r="G186" s="12">
        <f t="shared" si="42"/>
        <v>0.797</v>
      </c>
      <c r="H186" s="12">
        <v>0</v>
      </c>
      <c r="I186" s="14">
        <f>1.05*2.5</f>
        <v>2.625</v>
      </c>
      <c r="J186" s="13">
        <f t="shared" si="39"/>
        <v>1.8279999999999998</v>
      </c>
      <c r="K186" s="13">
        <f t="shared" si="40"/>
        <v>1.8279999999999998</v>
      </c>
      <c r="L186" s="17" t="s">
        <v>21</v>
      </c>
      <c r="M186" s="16"/>
      <c r="N186" s="12">
        <v>133</v>
      </c>
      <c r="O186" s="12" t="s">
        <v>193</v>
      </c>
      <c r="P186" s="15" t="s">
        <v>24</v>
      </c>
      <c r="Q186" s="63">
        <f>0.007+0.003+0.06+0.03+0.016+0.005+0.003-0.0382+0.0161</f>
        <v>0.1019</v>
      </c>
      <c r="R186" s="44">
        <f t="shared" si="38"/>
        <v>0.8989</v>
      </c>
      <c r="S186" s="12">
        <v>0</v>
      </c>
      <c r="T186" s="12">
        <v>0</v>
      </c>
      <c r="U186" s="12">
        <f t="shared" si="43"/>
        <v>0.8989</v>
      </c>
      <c r="V186" s="12">
        <v>0</v>
      </c>
      <c r="W186" s="14">
        <f>1.05*2.5</f>
        <v>2.625</v>
      </c>
      <c r="X186" s="13">
        <f t="shared" si="41"/>
        <v>1.7261</v>
      </c>
      <c r="Y186" s="13">
        <f t="shared" si="44"/>
        <v>1.7261</v>
      </c>
      <c r="Z186" s="12" t="s">
        <v>21</v>
      </c>
    </row>
    <row r="187" spans="1:26" s="1" customFormat="1" ht="22.5">
      <c r="A187" s="18">
        <v>134</v>
      </c>
      <c r="B187" s="12" t="s">
        <v>194</v>
      </c>
      <c r="C187" s="54" t="s">
        <v>30</v>
      </c>
      <c r="D187" s="44">
        <v>1.271</v>
      </c>
      <c r="E187" s="12">
        <v>0</v>
      </c>
      <c r="F187" s="12">
        <v>0</v>
      </c>
      <c r="G187" s="12">
        <f t="shared" si="42"/>
        <v>1.271</v>
      </c>
      <c r="H187" s="12">
        <v>0</v>
      </c>
      <c r="I187" s="14">
        <f>1.05*1.6</f>
        <v>1.6800000000000002</v>
      </c>
      <c r="J187" s="13">
        <f t="shared" si="39"/>
        <v>0.40900000000000025</v>
      </c>
      <c r="K187" s="13">
        <f t="shared" si="40"/>
        <v>0.40900000000000025</v>
      </c>
      <c r="L187" s="17" t="s">
        <v>21</v>
      </c>
      <c r="M187" s="16"/>
      <c r="N187" s="12">
        <v>134</v>
      </c>
      <c r="O187" s="12" t="s">
        <v>194</v>
      </c>
      <c r="P187" s="15" t="s">
        <v>30</v>
      </c>
      <c r="Q187" s="63">
        <f>0.019+0.004+0.011+0.029+0.029+0.014-0.0516+0.0108</f>
        <v>0.0652</v>
      </c>
      <c r="R187" s="44">
        <f t="shared" si="38"/>
        <v>1.3361999999999998</v>
      </c>
      <c r="S187" s="12">
        <v>0</v>
      </c>
      <c r="T187" s="12">
        <v>0</v>
      </c>
      <c r="U187" s="12">
        <f t="shared" si="43"/>
        <v>1.3361999999999998</v>
      </c>
      <c r="V187" s="12">
        <v>0</v>
      </c>
      <c r="W187" s="14">
        <f>1.05*1.6</f>
        <v>1.6800000000000002</v>
      </c>
      <c r="X187" s="13">
        <f t="shared" si="41"/>
        <v>0.3438000000000003</v>
      </c>
      <c r="Y187" s="13">
        <f t="shared" si="44"/>
        <v>0.3438000000000003</v>
      </c>
      <c r="Z187" s="12" t="s">
        <v>21</v>
      </c>
    </row>
    <row r="188" spans="1:26" s="1" customFormat="1" ht="22.5">
      <c r="A188" s="18">
        <v>135</v>
      </c>
      <c r="B188" s="12" t="s">
        <v>195</v>
      </c>
      <c r="C188" s="54" t="s">
        <v>26</v>
      </c>
      <c r="D188" s="44">
        <v>2.692</v>
      </c>
      <c r="E188" s="12">
        <v>0</v>
      </c>
      <c r="F188" s="12">
        <v>0</v>
      </c>
      <c r="G188" s="12">
        <f t="shared" si="42"/>
        <v>2.692</v>
      </c>
      <c r="H188" s="12">
        <v>0</v>
      </c>
      <c r="I188" s="14">
        <f>1.05*6.3</f>
        <v>6.615</v>
      </c>
      <c r="J188" s="13">
        <f t="shared" si="39"/>
        <v>3.923</v>
      </c>
      <c r="K188" s="13">
        <f t="shared" si="40"/>
        <v>3.923</v>
      </c>
      <c r="L188" s="17" t="s">
        <v>21</v>
      </c>
      <c r="M188" s="16"/>
      <c r="N188" s="12">
        <v>135</v>
      </c>
      <c r="O188" s="12" t="s">
        <v>195</v>
      </c>
      <c r="P188" s="15" t="s">
        <v>26</v>
      </c>
      <c r="Q188" s="63">
        <f>0.08+0.005+0.001+0.017+0.011+0.023+0.143+0.0247+0.0054-0.078+0.0199+0.0237+0.0054</f>
        <v>0.2811</v>
      </c>
      <c r="R188" s="44">
        <f t="shared" si="38"/>
        <v>2.9731</v>
      </c>
      <c r="S188" s="12">
        <v>0</v>
      </c>
      <c r="T188" s="12">
        <v>0</v>
      </c>
      <c r="U188" s="12">
        <f t="shared" si="43"/>
        <v>2.9731</v>
      </c>
      <c r="V188" s="12">
        <v>0</v>
      </c>
      <c r="W188" s="14">
        <f>1.05*6.3</f>
        <v>6.615</v>
      </c>
      <c r="X188" s="13">
        <f t="shared" si="41"/>
        <v>3.6419</v>
      </c>
      <c r="Y188" s="13">
        <f t="shared" si="44"/>
        <v>3.6419</v>
      </c>
      <c r="Z188" s="12" t="s">
        <v>21</v>
      </c>
    </row>
    <row r="189" spans="1:26" s="1" customFormat="1" ht="22.5">
      <c r="A189" s="18">
        <v>136</v>
      </c>
      <c r="B189" s="12" t="s">
        <v>196</v>
      </c>
      <c r="C189" s="54" t="s">
        <v>25</v>
      </c>
      <c r="D189" s="44">
        <v>0.387</v>
      </c>
      <c r="E189" s="12">
        <v>0</v>
      </c>
      <c r="F189" s="12">
        <v>0</v>
      </c>
      <c r="G189" s="12">
        <f t="shared" si="42"/>
        <v>0.387</v>
      </c>
      <c r="H189" s="12">
        <v>0</v>
      </c>
      <c r="I189" s="14">
        <f>1.05*1.6</f>
        <v>1.6800000000000002</v>
      </c>
      <c r="J189" s="13">
        <f t="shared" si="39"/>
        <v>1.2930000000000001</v>
      </c>
      <c r="K189" s="13">
        <f t="shared" si="40"/>
        <v>1.2930000000000001</v>
      </c>
      <c r="L189" s="17" t="s">
        <v>21</v>
      </c>
      <c r="M189" s="16"/>
      <c r="N189" s="12">
        <v>136</v>
      </c>
      <c r="O189" s="12" t="s">
        <v>196</v>
      </c>
      <c r="P189" s="15" t="s">
        <v>25</v>
      </c>
      <c r="Q189" s="63">
        <f>0.003+0.002</f>
        <v>0.005</v>
      </c>
      <c r="R189" s="44">
        <f t="shared" si="38"/>
        <v>0.392</v>
      </c>
      <c r="S189" s="12">
        <v>0</v>
      </c>
      <c r="T189" s="12">
        <v>0</v>
      </c>
      <c r="U189" s="12">
        <f t="shared" si="43"/>
        <v>0.392</v>
      </c>
      <c r="V189" s="12">
        <v>0</v>
      </c>
      <c r="W189" s="14">
        <f>1.05*1.6</f>
        <v>1.6800000000000002</v>
      </c>
      <c r="X189" s="13">
        <f t="shared" si="41"/>
        <v>1.2880000000000003</v>
      </c>
      <c r="Y189" s="13">
        <f t="shared" si="44"/>
        <v>1.2880000000000003</v>
      </c>
      <c r="Z189" s="12" t="s">
        <v>21</v>
      </c>
    </row>
    <row r="190" spans="1:26" s="1" customFormat="1" ht="22.5">
      <c r="A190" s="18">
        <v>137</v>
      </c>
      <c r="B190" s="12" t="s">
        <v>197</v>
      </c>
      <c r="C190" s="54" t="s">
        <v>24</v>
      </c>
      <c r="D190" s="44">
        <v>0.4</v>
      </c>
      <c r="E190" s="12">
        <v>0</v>
      </c>
      <c r="F190" s="12">
        <v>0</v>
      </c>
      <c r="G190" s="12">
        <f t="shared" si="42"/>
        <v>0.4</v>
      </c>
      <c r="H190" s="12">
        <v>0</v>
      </c>
      <c r="I190" s="14">
        <f>1.05*2.5</f>
        <v>2.625</v>
      </c>
      <c r="J190" s="13">
        <f t="shared" si="39"/>
        <v>2.225</v>
      </c>
      <c r="K190" s="13">
        <f t="shared" si="40"/>
        <v>2.225</v>
      </c>
      <c r="L190" s="17" t="s">
        <v>21</v>
      </c>
      <c r="M190" s="16"/>
      <c r="N190" s="12">
        <v>137</v>
      </c>
      <c r="O190" s="12" t="s">
        <v>197</v>
      </c>
      <c r="P190" s="15" t="s">
        <v>24</v>
      </c>
      <c r="Q190" s="63">
        <f>0.015+0.008+0.376+0.0039-0.3892</f>
        <v>0.013700000000000045</v>
      </c>
      <c r="R190" s="44">
        <f t="shared" si="38"/>
        <v>0.41370000000000007</v>
      </c>
      <c r="S190" s="12">
        <v>0</v>
      </c>
      <c r="T190" s="12">
        <v>0</v>
      </c>
      <c r="U190" s="12">
        <f t="shared" si="43"/>
        <v>0.41370000000000007</v>
      </c>
      <c r="V190" s="12">
        <v>0</v>
      </c>
      <c r="W190" s="14">
        <f>1.05*2.5</f>
        <v>2.625</v>
      </c>
      <c r="X190" s="13">
        <f t="shared" si="41"/>
        <v>2.2113</v>
      </c>
      <c r="Y190" s="13">
        <f t="shared" si="44"/>
        <v>2.2113</v>
      </c>
      <c r="Z190" s="12" t="s">
        <v>21</v>
      </c>
    </row>
    <row r="191" spans="1:26" s="1" customFormat="1" ht="22.5">
      <c r="A191" s="18">
        <v>138</v>
      </c>
      <c r="B191" s="12" t="s">
        <v>198</v>
      </c>
      <c r="C191" s="54" t="s">
        <v>48</v>
      </c>
      <c r="D191" s="44">
        <v>6.43</v>
      </c>
      <c r="E191" s="12">
        <v>0</v>
      </c>
      <c r="F191" s="12">
        <v>0</v>
      </c>
      <c r="G191" s="12">
        <f t="shared" si="42"/>
        <v>6.43</v>
      </c>
      <c r="H191" s="12">
        <v>0</v>
      </c>
      <c r="I191" s="14">
        <f>1.05*7.2</f>
        <v>7.5600000000000005</v>
      </c>
      <c r="J191" s="13">
        <f t="shared" si="39"/>
        <v>1.1300000000000008</v>
      </c>
      <c r="K191" s="13">
        <f t="shared" si="40"/>
        <v>1.1300000000000008</v>
      </c>
      <c r="L191" s="17" t="s">
        <v>21</v>
      </c>
      <c r="M191" s="16"/>
      <c r="N191" s="12">
        <v>138</v>
      </c>
      <c r="O191" s="12" t="s">
        <v>198</v>
      </c>
      <c r="P191" s="15" t="s">
        <v>48</v>
      </c>
      <c r="Q191" s="63">
        <f>0.039+0.031+0.005+0.005+0.01+0.005+0.0048+0.0048+0.0048</f>
        <v>0.10940000000000001</v>
      </c>
      <c r="R191" s="44">
        <f t="shared" si="38"/>
        <v>6.5394</v>
      </c>
      <c r="S191" s="12">
        <v>0</v>
      </c>
      <c r="T191" s="12">
        <v>0</v>
      </c>
      <c r="U191" s="12">
        <f t="shared" si="43"/>
        <v>6.5394</v>
      </c>
      <c r="V191" s="12">
        <v>0</v>
      </c>
      <c r="W191" s="14">
        <f>1.05*7.2</f>
        <v>7.5600000000000005</v>
      </c>
      <c r="X191" s="13">
        <f t="shared" si="41"/>
        <v>1.0206000000000008</v>
      </c>
      <c r="Y191" s="13">
        <f t="shared" si="44"/>
        <v>1.0206000000000008</v>
      </c>
      <c r="Z191" s="12" t="s">
        <v>21</v>
      </c>
    </row>
    <row r="192" spans="1:26" s="1" customFormat="1" ht="22.5">
      <c r="A192" s="18">
        <v>139</v>
      </c>
      <c r="B192" s="12" t="s">
        <v>201</v>
      </c>
      <c r="C192" s="54" t="s">
        <v>36</v>
      </c>
      <c r="D192" s="44">
        <v>0.726</v>
      </c>
      <c r="E192" s="12">
        <v>0</v>
      </c>
      <c r="F192" s="12">
        <v>0</v>
      </c>
      <c r="G192" s="12">
        <f t="shared" si="42"/>
        <v>0.726</v>
      </c>
      <c r="H192" s="12">
        <v>0</v>
      </c>
      <c r="I192" s="14">
        <f>1.05*2.5</f>
        <v>2.625</v>
      </c>
      <c r="J192" s="13">
        <f t="shared" si="39"/>
        <v>1.899</v>
      </c>
      <c r="K192" s="13">
        <f t="shared" si="40"/>
        <v>1.899</v>
      </c>
      <c r="L192" s="17" t="s">
        <v>21</v>
      </c>
      <c r="M192" s="16"/>
      <c r="N192" s="12">
        <v>139</v>
      </c>
      <c r="O192" s="12" t="s">
        <v>201</v>
      </c>
      <c r="P192" s="15" t="s">
        <v>36</v>
      </c>
      <c r="Q192" s="63">
        <f>0.026+0.01+0.002+0.003+0.019+0.0161-0.0081+0.0065+0.0077</f>
        <v>0.08220000000000001</v>
      </c>
      <c r="R192" s="44">
        <f t="shared" si="38"/>
        <v>0.8082</v>
      </c>
      <c r="S192" s="12">
        <v>0</v>
      </c>
      <c r="T192" s="12">
        <v>0</v>
      </c>
      <c r="U192" s="12">
        <f t="shared" si="43"/>
        <v>0.8082</v>
      </c>
      <c r="V192" s="12">
        <v>0</v>
      </c>
      <c r="W192" s="14">
        <f>1.05*2.5</f>
        <v>2.625</v>
      </c>
      <c r="X192" s="13">
        <f t="shared" si="41"/>
        <v>1.8168</v>
      </c>
      <c r="Y192" s="13">
        <f t="shared" si="44"/>
        <v>1.8168</v>
      </c>
      <c r="Z192" s="12" t="s">
        <v>21</v>
      </c>
    </row>
    <row r="193" spans="1:26" s="1" customFormat="1" ht="22.5">
      <c r="A193" s="18">
        <v>140</v>
      </c>
      <c r="B193" s="12" t="s">
        <v>202</v>
      </c>
      <c r="C193" s="54" t="s">
        <v>24</v>
      </c>
      <c r="D193" s="44">
        <v>0.999</v>
      </c>
      <c r="E193" s="12">
        <v>0</v>
      </c>
      <c r="F193" s="12">
        <v>0</v>
      </c>
      <c r="G193" s="12">
        <f t="shared" si="42"/>
        <v>0.999</v>
      </c>
      <c r="H193" s="12">
        <v>0</v>
      </c>
      <c r="I193" s="14">
        <f>1.05*2.5</f>
        <v>2.625</v>
      </c>
      <c r="J193" s="13">
        <f t="shared" si="39"/>
        <v>1.626</v>
      </c>
      <c r="K193" s="13">
        <f t="shared" si="40"/>
        <v>1.626</v>
      </c>
      <c r="L193" s="17" t="s">
        <v>21</v>
      </c>
      <c r="M193" s="16"/>
      <c r="N193" s="12">
        <v>140</v>
      </c>
      <c r="O193" s="12" t="s">
        <v>202</v>
      </c>
      <c r="P193" s="15" t="s">
        <v>24</v>
      </c>
      <c r="Q193" s="63">
        <f>0.033+0.008+0.015+0.014+0.004+0.0054+0.0161-0.0296+0.0032</f>
        <v>0.06910000000000001</v>
      </c>
      <c r="R193" s="44">
        <f t="shared" si="38"/>
        <v>1.0681</v>
      </c>
      <c r="S193" s="12">
        <v>0</v>
      </c>
      <c r="T193" s="12">
        <v>0</v>
      </c>
      <c r="U193" s="12">
        <f t="shared" si="43"/>
        <v>1.0681</v>
      </c>
      <c r="V193" s="12">
        <v>0</v>
      </c>
      <c r="W193" s="14">
        <f>1.05*2.5</f>
        <v>2.625</v>
      </c>
      <c r="X193" s="13">
        <f t="shared" si="41"/>
        <v>1.5569</v>
      </c>
      <c r="Y193" s="13">
        <f t="shared" si="44"/>
        <v>1.5569</v>
      </c>
      <c r="Z193" s="12" t="s">
        <v>21</v>
      </c>
    </row>
    <row r="194" spans="1:26" s="1" customFormat="1" ht="11.25">
      <c r="A194" s="134"/>
      <c r="B194" s="8" t="s">
        <v>40</v>
      </c>
      <c r="C194" s="69">
        <v>2302.5</v>
      </c>
      <c r="D194" s="42">
        <f>D5+D6+D9+D10+D11+D12+D13+D14+D15+D18+D21+D24+D25+D26+D27+D28+D29+D30+D31+D32+D33+D34+D35+D36+D37+D38+D39+D40+D41+D42+D43+D44+D45+D46+D47+D50+D52+D51+D54+D58+D61+D64+D67+D68+D71+D72+D73+D74+D77+D80+D81+D82+D85+D86+D87+D88+D89+D90+D91+D92+D95+D96+D97+D98+D99+D102+D103+D104+D105+D108+D111+D112+D115+D118+D119+D122+D123+D126+D127+D128+D131+D132+D133+D134+D135+D136+D137+D138+D139+D140+D141+D142+D143+D144+D145+D146+D147+D149+D148+D150+D151+D152+D153+D154+D155+D156+D157+D158+D159+D160+D161+D162+D163+D164+D165+D166+D167+D168+D169+D170+D171+D172+D173+D174+D175+D176+D177+D178+D179+D180+D181+D182+D183+D184+D185+D186+D187+D188+D189+D190+D191+D192+D193+D55+D53</f>
        <v>756.7539999999998</v>
      </c>
      <c r="E194" s="9"/>
      <c r="F194" s="9"/>
      <c r="G194" s="9"/>
      <c r="H194" s="9"/>
      <c r="I194" s="9"/>
      <c r="J194" s="9"/>
      <c r="K194" s="9"/>
      <c r="L194" s="11"/>
      <c r="M194" s="10"/>
      <c r="N194" s="77"/>
      <c r="O194" s="8" t="s">
        <v>40</v>
      </c>
      <c r="P194" s="9">
        <v>2302.5</v>
      </c>
      <c r="Q194" s="66">
        <f>Q5+Q6+Q9+Q10+Q11+Q12+Q13+Q14+Q15+Q18+Q21+Q24+Q25+Q26+Q27+Q28+Q29+Q30+Q31+Q32+Q33+Q34+Q35+Q36+Q37+Q38+Q39+Q40+Q41+Q42+Q43+Q44+Q45+Q46+Q47+Q50+Q52+Q51+Q54+Q58+Q61+Q64+Q67+Q68+Q71+Q72+Q73+Q74+Q77+Q80+Q81+Q82+Q85+Q86+Q87+Q88+Q89+Q90+Q91+Q92+Q95+Q96+Q97+Q98+Q99+Q102+Q103+Q104+Q105+Q108+Q111+Q112+Q115+Q118+Q119+Q122+Q123+Q126+Q127+Q128+Q131+Q132+Q133+Q134+Q135+Q136+Q137+Q138+Q139+Q140+Q141+Q142+Q143+Q144+Q145+Q146+Q147+Q149+Q148+Q150+Q151+Q152+Q153+Q154+Q155+Q156+Q157+Q158+Q159+Q160+Q161+Q162+Q163+Q164+Q165+Q166+Q167+Q168+Q169+Q170+Q171+Q172+Q173+Q174+Q175+Q176+Q177+Q178+Q179+Q180+Q181+Q182+Q183+Q184+Q185+Q186+Q187+Q188+Q189+Q190+Q191+Q192+Q193+Q55+Q53</f>
        <v>66.54920000000004</v>
      </c>
      <c r="R194" s="42">
        <f>R5+R6+R9+R10+R11+R12+R13+R14+R15+R18+R21+R24+R25+R26+R27+R28+R29+R30+R31+R32+R33+R34+R35+R36+R37+R38+R39+R40+R41+R42+R43+R44+R45+R46+R47+R50+R52+R51+R54+R58+R61+R64+R67+R68+R71+R72+R73+R74+R77+R80+R81+R82+R85+R86+R87+R88+R89+R90+R91+R92+R95+R96+R97+R98+R99+R102+R103+R104+R105+R108+R111+R112+R115+R118+R119+R122+R123+R126+R127+R128+R131+R132+R133+R134+R135+R136+R137+R138+R139+R140+R141+R142+R143+R144+R145+R146+R147+R149+R148+R150+R151+R152+R153+R154+R155+R156+R157+R158+R159+R160+R161+R162+R163+R164+R165+R166+R167+R168+R169+R170+R171+R172+R173+R174+R175+R176+R177+R178+R179+R180+R181+R182+R183+R184+R185+R186+R187+R188+R189+R190+R191+R192+R193+R55+R53</f>
        <v>823.3032000000002</v>
      </c>
      <c r="S194" s="9"/>
      <c r="T194" s="9"/>
      <c r="U194" s="9"/>
      <c r="V194" s="9"/>
      <c r="W194" s="9"/>
      <c r="X194" s="9"/>
      <c r="Y194" s="9"/>
      <c r="Z194" s="8"/>
    </row>
    <row r="195" spans="1:26" s="1" customFormat="1" ht="11.25">
      <c r="A195" s="135"/>
      <c r="B195" s="8" t="s">
        <v>12</v>
      </c>
      <c r="C195" s="69"/>
      <c r="D195" s="9"/>
      <c r="E195" s="9"/>
      <c r="F195" s="9"/>
      <c r="G195" s="9"/>
      <c r="H195" s="9"/>
      <c r="I195" s="9"/>
      <c r="J195" s="9"/>
      <c r="K195" s="66">
        <f>K51+K53+K61+K73+K104+K95+K137+K139+K160+K54+K55</f>
        <v>-38.50299999999999</v>
      </c>
      <c r="L195" s="11"/>
      <c r="M195" s="10"/>
      <c r="N195" s="76"/>
      <c r="O195" s="8" t="s">
        <v>12</v>
      </c>
      <c r="P195" s="9"/>
      <c r="Q195" s="9"/>
      <c r="R195" s="9"/>
      <c r="S195" s="9"/>
      <c r="T195" s="9"/>
      <c r="U195" s="9"/>
      <c r="V195" s="9"/>
      <c r="W195" s="9"/>
      <c r="X195" s="9"/>
      <c r="Y195" s="66">
        <f>Y51+Y53+Y61+Y73+Y104+Y95+Y137+Y139+Y160+Y55+Y54</f>
        <v>-54.1718</v>
      </c>
      <c r="Z195" s="8"/>
    </row>
    <row r="196" spans="1:26" s="1" customFormat="1" ht="11.25">
      <c r="A196" s="136"/>
      <c r="B196" s="8" t="s">
        <v>13</v>
      </c>
      <c r="C196" s="69"/>
      <c r="D196" s="9"/>
      <c r="E196" s="9"/>
      <c r="F196" s="9"/>
      <c r="G196" s="9"/>
      <c r="H196" s="9"/>
      <c r="I196" s="9"/>
      <c r="J196" s="9"/>
      <c r="K196" s="66">
        <f>K47+K50+K52+K58+K64+K67+K68+K72+K74+K77+K80+K82+K85+K86+K87+K89+K90+K91+K92+K96+K97+K98+K99+K102+K103+K105+K108+K111+K112+K115+K118+K119+K122+K123+K126+K127+K128+K131+K132+K133+K134+K135+K136+K138+K140+K141+K142+K143+K144+K145+K146+K147+K148+K149+K150+K151+K152+K153+K154+K155+K156+K157+K158+K159+K161+K162+K163+K165+K166+K167+K168+K169+K170+K171+K172+K173+K174+K175+K176+K177+K178+K179+K180+K181+K182+K183+K184+K185+K186+K187+K188+K189+K190+K191+K192+K193+K71</f>
        <v>416.533</v>
      </c>
      <c r="L196" s="11"/>
      <c r="M196" s="10"/>
      <c r="N196" s="92"/>
      <c r="O196" s="8" t="s">
        <v>13</v>
      </c>
      <c r="P196" s="9"/>
      <c r="Q196" s="9"/>
      <c r="R196" s="9"/>
      <c r="S196" s="9"/>
      <c r="T196" s="9"/>
      <c r="U196" s="9"/>
      <c r="V196" s="9"/>
      <c r="W196" s="9"/>
      <c r="X196" s="9"/>
      <c r="Y196" s="66">
        <f>Y47+Y50+Y52+Y58+Y64+Y67+Y68+Y72+Y74+Y77+Y80+Y82+Y85+Y86+Y87+Y89+Y90+Y91+Y92+Y96+Y97+Y98+Y99+Y102+Y103+Y105+Y108+Y111+Y112+Y115+Y118+Y119+Y122+Y123+Y126+Y127+Y128+Y131+Y132+Y133+Y134+Y135+Y136+Y138+Y140+Y141+Y142+Y143+Y144+Y145+Y146+Y147+Y148+Y149+Y150+Y151+Y152+Y153+Y154+Y155+Y156+Y157+Y158+Y159+Y161+Y162+Y163+Y165+Y166+Y167+Y168+Y169+Y170+Y171+Y172+Y173+Y174+Y175+Y176+Y177+Y178+Y179+Y180+Y181+Y182+Y183+Y184+Y185+Y186+Y187+Y188+Y189+Y190+Y191+Y192+Y193+Y88+Y164+Y71</f>
        <v>406.9796999999999</v>
      </c>
      <c r="Z196" s="8"/>
    </row>
    <row r="197" spans="1:17" s="1" customFormat="1" ht="11.25">
      <c r="A197" s="57"/>
      <c r="C197" s="57"/>
      <c r="Q197" s="43"/>
    </row>
    <row r="198" spans="1:17" s="1" customFormat="1" ht="11.25">
      <c r="A198" s="57"/>
      <c r="C198" s="57"/>
      <c r="K198" s="75"/>
      <c r="Q198" s="43"/>
    </row>
    <row r="199" spans="1:25" s="1" customFormat="1" ht="15">
      <c r="A199" s="57"/>
      <c r="C199" s="57"/>
      <c r="E199" s="75"/>
      <c r="F199" s="43"/>
      <c r="K199" s="75"/>
      <c r="Q199" s="43"/>
      <c r="R199" s="43"/>
      <c r="Y199" s="7"/>
    </row>
    <row r="200" spans="1:3" s="1" customFormat="1" ht="11.25">
      <c r="A200" s="57"/>
      <c r="C200" s="57"/>
    </row>
    <row r="201" spans="1:3" s="1" customFormat="1" ht="11.25">
      <c r="A201" s="57"/>
      <c r="C201" s="57"/>
    </row>
    <row r="202" spans="1:3" s="1" customFormat="1" ht="11.25">
      <c r="A202" s="57"/>
      <c r="C202" s="57"/>
    </row>
    <row r="203" spans="1:3" s="1" customFormat="1" ht="11.25">
      <c r="A203" s="57"/>
      <c r="C203" s="57"/>
    </row>
    <row r="204" spans="1:3" s="1" customFormat="1" ht="11.25">
      <c r="A204" s="57"/>
      <c r="C204" s="57"/>
    </row>
    <row r="205" spans="1:3" s="1" customFormat="1" ht="11.25">
      <c r="A205" s="57"/>
      <c r="C205" s="57"/>
    </row>
    <row r="206" spans="1:3" s="1" customFormat="1" ht="11.25">
      <c r="A206" s="57"/>
      <c r="C206" s="57"/>
    </row>
    <row r="207" spans="1:3" s="1" customFormat="1" ht="11.25">
      <c r="A207" s="57"/>
      <c r="C207" s="57"/>
    </row>
    <row r="208" spans="1:3" s="1" customFormat="1" ht="11.25">
      <c r="A208" s="57"/>
      <c r="C208" s="57"/>
    </row>
    <row r="209" spans="1:3" s="1" customFormat="1" ht="11.25">
      <c r="A209" s="57"/>
      <c r="C209" s="57"/>
    </row>
    <row r="210" spans="1:3" s="1" customFormat="1" ht="11.25">
      <c r="A210" s="57"/>
      <c r="C210" s="57"/>
    </row>
    <row r="211" spans="1:3" s="1" customFormat="1" ht="11.25">
      <c r="A211" s="57"/>
      <c r="C211" s="57"/>
    </row>
    <row r="212" spans="1:3" s="1" customFormat="1" ht="11.25">
      <c r="A212" s="57"/>
      <c r="C212" s="57"/>
    </row>
    <row r="213" spans="1:3" s="1" customFormat="1" ht="11.25">
      <c r="A213" s="57"/>
      <c r="C213" s="57"/>
    </row>
    <row r="214" spans="1:3" s="1" customFormat="1" ht="11.25">
      <c r="A214" s="57"/>
      <c r="C214" s="57"/>
    </row>
    <row r="215" spans="1:3" s="1" customFormat="1" ht="11.25">
      <c r="A215" s="57"/>
      <c r="C215" s="57"/>
    </row>
    <row r="216" spans="1:3" s="1" customFormat="1" ht="11.25">
      <c r="A216" s="57"/>
      <c r="C216" s="57"/>
    </row>
    <row r="217" spans="1:3" s="1" customFormat="1" ht="11.25">
      <c r="A217" s="57"/>
      <c r="C217" s="57"/>
    </row>
    <row r="218" spans="1:3" s="1" customFormat="1" ht="11.25">
      <c r="A218" s="57"/>
      <c r="C218" s="57"/>
    </row>
    <row r="219" spans="1:3" s="1" customFormat="1" ht="11.25">
      <c r="A219" s="57"/>
      <c r="C219" s="57"/>
    </row>
    <row r="220" spans="1:3" s="1" customFormat="1" ht="11.25">
      <c r="A220" s="57"/>
      <c r="C220" s="57"/>
    </row>
    <row r="221" spans="1:3" s="1" customFormat="1" ht="11.25">
      <c r="A221" s="57"/>
      <c r="C221" s="57"/>
    </row>
    <row r="222" spans="1:3" s="1" customFormat="1" ht="11.25">
      <c r="A222" s="57"/>
      <c r="C222" s="57"/>
    </row>
    <row r="223" spans="1:3" s="1" customFormat="1" ht="11.25">
      <c r="A223" s="57"/>
      <c r="C223" s="57"/>
    </row>
    <row r="224" spans="1:3" s="1" customFormat="1" ht="11.25">
      <c r="A224" s="57"/>
      <c r="C224" s="57"/>
    </row>
    <row r="225" spans="1:3" s="1" customFormat="1" ht="11.25">
      <c r="A225" s="57"/>
      <c r="C225" s="57"/>
    </row>
    <row r="226" spans="1:3" s="1" customFormat="1" ht="11.25">
      <c r="A226" s="57"/>
      <c r="C226" s="57"/>
    </row>
    <row r="227" spans="1:3" s="1" customFormat="1" ht="11.25">
      <c r="A227" s="57"/>
      <c r="C227" s="57"/>
    </row>
    <row r="228" spans="1:3" s="1" customFormat="1" ht="11.25">
      <c r="A228" s="57"/>
      <c r="C228" s="57"/>
    </row>
    <row r="229" spans="1:3" s="1" customFormat="1" ht="11.25">
      <c r="A229" s="57"/>
      <c r="C229" s="57"/>
    </row>
    <row r="230" spans="1:3" s="1" customFormat="1" ht="11.25">
      <c r="A230" s="57"/>
      <c r="C230" s="57"/>
    </row>
    <row r="231" spans="1:3" s="1" customFormat="1" ht="11.25">
      <c r="A231" s="57"/>
      <c r="C231" s="57"/>
    </row>
    <row r="232" spans="1:3" s="1" customFormat="1" ht="11.25">
      <c r="A232" s="57"/>
      <c r="C232" s="57"/>
    </row>
    <row r="233" spans="1:3" s="1" customFormat="1" ht="11.25">
      <c r="A233" s="57"/>
      <c r="C233" s="57"/>
    </row>
  </sheetData>
  <sheetProtection/>
  <mergeCells count="157">
    <mergeCell ref="A82:A84"/>
    <mergeCell ref="K128:K130"/>
    <mergeCell ref="K105:K107"/>
    <mergeCell ref="K68:K70"/>
    <mergeCell ref="A92:A94"/>
    <mergeCell ref="A99:A101"/>
    <mergeCell ref="A105:A107"/>
    <mergeCell ref="A108:A110"/>
    <mergeCell ref="A112:A114"/>
    <mergeCell ref="A123:A125"/>
    <mergeCell ref="L77:L79"/>
    <mergeCell ref="K58:K60"/>
    <mergeCell ref="L58:L60"/>
    <mergeCell ref="K61:K63"/>
    <mergeCell ref="L61:L63"/>
    <mergeCell ref="A68:A70"/>
    <mergeCell ref="A74:A76"/>
    <mergeCell ref="A77:A79"/>
    <mergeCell ref="L123:L125"/>
    <mergeCell ref="A115:A117"/>
    <mergeCell ref="A119:A121"/>
    <mergeCell ref="K82:K84"/>
    <mergeCell ref="L82:L84"/>
    <mergeCell ref="K92:K94"/>
    <mergeCell ref="L92:L94"/>
    <mergeCell ref="A58:A60"/>
    <mergeCell ref="A55:A57"/>
    <mergeCell ref="A61:A63"/>
    <mergeCell ref="A64:A66"/>
    <mergeCell ref="L105:L107"/>
    <mergeCell ref="K108:K110"/>
    <mergeCell ref="L108:L110"/>
    <mergeCell ref="K112:K114"/>
    <mergeCell ref="L112:L114"/>
    <mergeCell ref="L128:L130"/>
    <mergeCell ref="A194:A196"/>
    <mergeCell ref="K115:K117"/>
    <mergeCell ref="L115:L117"/>
    <mergeCell ref="K119:K121"/>
    <mergeCell ref="L119:L121"/>
    <mergeCell ref="K123:K125"/>
    <mergeCell ref="A128:A130"/>
    <mergeCell ref="N112:N114"/>
    <mergeCell ref="N21:N23"/>
    <mergeCell ref="N55:N57"/>
    <mergeCell ref="N58:N60"/>
    <mergeCell ref="N61:N63"/>
    <mergeCell ref="N99:N101"/>
    <mergeCell ref="N108:N110"/>
    <mergeCell ref="N105:N107"/>
    <mergeCell ref="K99:K101"/>
    <mergeCell ref="L99:L101"/>
    <mergeCell ref="N92:N94"/>
    <mergeCell ref="N64:N66"/>
    <mergeCell ref="N68:N70"/>
    <mergeCell ref="L64:L66"/>
    <mergeCell ref="L68:L70"/>
    <mergeCell ref="K74:K76"/>
    <mergeCell ref="L74:L76"/>
    <mergeCell ref="K77:K79"/>
    <mergeCell ref="N128:N130"/>
    <mergeCell ref="N123:N125"/>
    <mergeCell ref="N119:N121"/>
    <mergeCell ref="N115:N117"/>
    <mergeCell ref="L55:L57"/>
    <mergeCell ref="K6:K8"/>
    <mergeCell ref="K15:K17"/>
    <mergeCell ref="K18:K20"/>
    <mergeCell ref="K21:K23"/>
    <mergeCell ref="A47:A49"/>
    <mergeCell ref="A6:A8"/>
    <mergeCell ref="L6:L8"/>
    <mergeCell ref="A15:A17"/>
    <mergeCell ref="L15:L17"/>
    <mergeCell ref="L18:L20"/>
    <mergeCell ref="L21:L23"/>
    <mergeCell ref="A18:A20"/>
    <mergeCell ref="A21:A23"/>
    <mergeCell ref="K47:K49"/>
    <mergeCell ref="N15:N17"/>
    <mergeCell ref="P2:P3"/>
    <mergeCell ref="Q2:Q3"/>
    <mergeCell ref="R2:R3"/>
    <mergeCell ref="Z112:Z114"/>
    <mergeCell ref="Y77:Y79"/>
    <mergeCell ref="Z77:Z79"/>
    <mergeCell ref="Y82:Y84"/>
    <mergeCell ref="Z82:Z84"/>
    <mergeCell ref="Z74:Z76"/>
    <mergeCell ref="N18:N20"/>
    <mergeCell ref="N47:N49"/>
    <mergeCell ref="Y68:Y70"/>
    <mergeCell ref="Y47:Y49"/>
    <mergeCell ref="Z18:Z20"/>
    <mergeCell ref="Z21:Z23"/>
    <mergeCell ref="Z47:Z49"/>
    <mergeCell ref="Z119:Z121"/>
    <mergeCell ref="Y99:Y101"/>
    <mergeCell ref="Z99:Z101"/>
    <mergeCell ref="Y123:Y125"/>
    <mergeCell ref="Z123:Z125"/>
    <mergeCell ref="Y105:Y107"/>
    <mergeCell ref="Z105:Z107"/>
    <mergeCell ref="Y108:Y110"/>
    <mergeCell ref="Z108:Z110"/>
    <mergeCell ref="Y112:Y114"/>
    <mergeCell ref="A1:A3"/>
    <mergeCell ref="B1:B3"/>
    <mergeCell ref="C1:K1"/>
    <mergeCell ref="L1:L3"/>
    <mergeCell ref="C2:C3"/>
    <mergeCell ref="D2:D3"/>
    <mergeCell ref="E2:F2"/>
    <mergeCell ref="G2:G3"/>
    <mergeCell ref="H2:H3"/>
    <mergeCell ref="I2:I3"/>
    <mergeCell ref="K64:K66"/>
    <mergeCell ref="K55:K57"/>
    <mergeCell ref="Z1:Z3"/>
    <mergeCell ref="N1:N3"/>
    <mergeCell ref="Z6:Z8"/>
    <mergeCell ref="Z15:Z17"/>
    <mergeCell ref="L47:L49"/>
    <mergeCell ref="Y6:Y8"/>
    <mergeCell ref="N6:N8"/>
    <mergeCell ref="Y15:Y17"/>
    <mergeCell ref="Y55:Y57"/>
    <mergeCell ref="Z55:Z57"/>
    <mergeCell ref="Y18:Y20"/>
    <mergeCell ref="Y21:Y23"/>
    <mergeCell ref="N82:N84"/>
    <mergeCell ref="Y58:Y60"/>
    <mergeCell ref="Z58:Z60"/>
    <mergeCell ref="Y61:Y63"/>
    <mergeCell ref="Z61:Z63"/>
    <mergeCell ref="Y64:Y66"/>
    <mergeCell ref="Z64:Z66"/>
    <mergeCell ref="N74:N76"/>
    <mergeCell ref="Z68:Z70"/>
    <mergeCell ref="Y74:Y76"/>
    <mergeCell ref="Y128:Y130"/>
    <mergeCell ref="Z128:Z130"/>
    <mergeCell ref="N194:N196"/>
    <mergeCell ref="J2:K3"/>
    <mergeCell ref="Y115:Y117"/>
    <mergeCell ref="Z115:Z117"/>
    <mergeCell ref="Y119:Y121"/>
    <mergeCell ref="Y92:Y94"/>
    <mergeCell ref="Z92:Z94"/>
    <mergeCell ref="N77:N79"/>
    <mergeCell ref="O1:O3"/>
    <mergeCell ref="P1:Y1"/>
    <mergeCell ref="W2:W3"/>
    <mergeCell ref="X2:Y3"/>
    <mergeCell ref="S2:T2"/>
    <mergeCell ref="U2:U3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2011-05-05T11:28:58Z</dcterms:modified>
  <cp:category/>
  <cp:version/>
  <cp:contentType/>
  <cp:contentStatus/>
</cp:coreProperties>
</file>