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8375" windowHeight="10380" activeTab="0"/>
  </bookViews>
  <sheets>
    <sheet name="Орел" sheetId="1" r:id="rId1"/>
    <sheet name="Сводтек.деф." sheetId="2" r:id="rId2"/>
    <sheet name="Свод.ожид.деф." sheetId="3" r:id="rId3"/>
  </sheets>
  <definedNames/>
  <calcPr fullCalcOnLoad="1"/>
</workbook>
</file>

<file path=xl/sharedStrings.xml><?xml version="1.0" encoding="utf-8"?>
<sst xmlns="http://schemas.openxmlformats.org/spreadsheetml/2006/main" count="797" uniqueCount="220">
  <si>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</si>
  <si>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</si>
  <si>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</si>
  <si>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</si>
  <si>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</si>
  <si>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</si>
  <si>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</si>
  <si>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</si>
  <si>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</si>
  <si>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</si>
  <si>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</si>
  <si>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</si>
  <si>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</si>
  <si>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</si>
  <si>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</si>
  <si>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</si>
  <si>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</si>
  <si>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</si>
  <si>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</si>
  <si>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</si>
  <si>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</si>
  <si>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</si>
  <si>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</si>
  <si>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</si>
  <si>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</si>
  <si>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</si>
  <si>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</si>
  <si>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</si>
  <si>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</si>
  <si>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</si>
  <si>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</si>
  <si>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</si>
  <si>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</si>
  <si>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Дефицит/профицит  ЦП, МВА</t>
  </si>
  <si>
    <t>20+20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</si>
  <si>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</si>
  <si>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</si>
  <si>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</si>
  <si>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</si>
  <si>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</si>
  <si>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</si>
  <si>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</si>
  <si>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Текущий дефицит/ профицит,         МВА</t>
  </si>
  <si>
    <t xml:space="preserve"> Пропускная способность ЦП, МВА</t>
  </si>
  <si>
    <t>Текущий дефицит ,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</si>
  <si>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</si>
  <si>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</si>
  <si>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</si>
  <si>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</si>
  <si>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</si>
  <si>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</si>
  <si>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</si>
  <si>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</si>
  <si>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</si>
  <si>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</si>
  <si>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</si>
  <si>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</si>
  <si>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</si>
  <si>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</si>
  <si>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</si>
  <si>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</si>
  <si>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</si>
  <si>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</si>
  <si>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</si>
  <si>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</si>
  <si>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</si>
  <si>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</si>
  <si>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</si>
  <si>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</si>
  <si>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</si>
  <si>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</si>
  <si>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</si>
  <si>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</si>
  <si>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</si>
  <si>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</si>
  <si>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</si>
  <si>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</si>
  <si>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</si>
  <si>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</si>
  <si>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</si>
  <si>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</si>
  <si>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ССК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</si>
  <si>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</si>
  <si>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</si>
  <si>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</si>
  <si>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</si>
  <si>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</si>
  <si>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</si>
  <si>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</si>
  <si>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</si>
  <si>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</si>
  <si>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</si>
  <si>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</si>
  <si>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</si>
  <si>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</si>
  <si>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</si>
  <si>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</si>
  <si>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110/10 кВ Железнодорожная </t>
  </si>
  <si>
    <t xml:space="preserve">ПС 35/10 кВ  Жиляевская </t>
  </si>
  <si>
    <t xml:space="preserve">ПС 110/6 кВ Заводская </t>
  </si>
  <si>
    <t>40+25</t>
  </si>
  <si>
    <t xml:space="preserve">ПС 110/6 кВ Западная </t>
  </si>
  <si>
    <t xml:space="preserve">ПС 35/10 кВ Звягинки </t>
  </si>
  <si>
    <t>ПС 35/10 кВ  Ильинская</t>
  </si>
  <si>
    <t>3,2+1,6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</si>
  <si>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</si>
  <si>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</si>
  <si>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</si>
  <si>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</si>
  <si>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>1,6+1,8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</si>
  <si>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</si>
  <si>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</si>
  <si>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</si>
  <si>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</si>
  <si>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1,8+2,5</t>
  </si>
  <si>
    <t>ПС 35/10 кВ Малорхангельская</t>
  </si>
  <si>
    <t>5,6+5,6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</si>
  <si>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</si>
  <si>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</si>
  <si>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</si>
  <si>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</si>
  <si>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</si>
  <si>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 xml:space="preserve">ПС 110/10 кВ Пищевая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</si>
  <si>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</si>
  <si>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</si>
  <si>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</si>
  <si>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</si>
  <si>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</si>
  <si>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 xml:space="preserve">ПС 35/10 кВ  Сосковская </t>
  </si>
  <si>
    <t>4+3,2</t>
  </si>
  <si>
    <t xml:space="preserve">ПС 35/10 кВ Тросна </t>
  </si>
  <si>
    <t>5,6+3,2</t>
  </si>
  <si>
    <t>ПС 110/10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</si>
  <si>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</si>
  <si>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</si>
  <si>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</si>
  <si>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</si>
  <si>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</si>
  <si>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</si>
  <si>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</si>
  <si>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</si>
  <si>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</si>
  <si>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</si>
  <si>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</si>
  <si>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</si>
  <si>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</si>
  <si>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</si>
  <si>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</si>
  <si>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</si>
  <si>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</si>
  <si>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</si>
  <si>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</si>
  <si>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</si>
  <si>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</si>
  <si>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</si>
  <si>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</si>
  <si>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</si>
  <si>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</si>
  <si>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</si>
  <si>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</si>
  <si>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</si>
  <si>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</si>
  <si>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</si>
  <si>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</si>
  <si>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</si>
  <si>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</si>
  <si>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</si>
  <si>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</si>
  <si>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</si>
  <si>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</si>
  <si>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</si>
  <si>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</si>
  <si>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16+10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</si>
  <si>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</si>
  <si>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</si>
  <si>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</si>
  <si>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</si>
  <si>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</si>
  <si>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</si>
  <si>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</si>
  <si>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110/10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</si>
  <si>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</si>
  <si>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</si>
  <si>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</si>
  <si>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</si>
  <si>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</si>
  <si>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</si>
  <si>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</si>
  <si>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</si>
  <si>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</si>
  <si>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</si>
  <si>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</si>
  <si>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</si>
  <si>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</si>
  <si>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</si>
  <si>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2,5+3,2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</si>
  <si>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</si>
  <si>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</si>
  <si>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</si>
  <si>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</si>
  <si>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</si>
  <si>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</si>
  <si>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</si>
  <si>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</si>
  <si>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Урынок</t>
  </si>
  <si>
    <t>ПС 35/10 кВ Хомутово</t>
  </si>
  <si>
    <t>Ном. мощность СН; МВА</t>
  </si>
  <si>
    <t>Ном. мощность НН; МВА</t>
  </si>
  <si>
    <t xml:space="preserve"> Пропускная способность, МВА</t>
  </si>
  <si>
    <t>-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</si>
  <si>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</si>
  <si>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</si>
  <si>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1сутки</t>
  </si>
  <si>
    <t xml:space="preserve"> </t>
  </si>
  <si>
    <t>1 сутки</t>
  </si>
  <si>
    <t>ПС 35/10 кВ Малоархангельская</t>
  </si>
  <si>
    <t>Перечень закрытых центров питания ОАО "МРСК Центра"  - "Орелэнерго" по зимним нагрузкам 2009 года (текущий дефицит мощности).</t>
  </si>
  <si>
    <t xml:space="preserve">Итого текущий дефицит </t>
  </si>
  <si>
    <t>ПС 110/35/10кВ Совхозная</t>
  </si>
  <si>
    <t>63+63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</si>
</sst>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  <numFmt numFmtId="166" formatCode="#,##0.000_ ;\-#,##0.000\ "/>
  </numFmts>
  <fonts count="34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 wrapText="1"/>
    </xf>
    <xf numFmtId="164" fontId="10" fillId="24" borderId="13" xfId="66" applyNumberFormat="1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/>
    </xf>
    <xf numFmtId="0" fontId="9" fillId="20" borderId="10" xfId="0" applyFont="1" applyFill="1" applyBorder="1" applyAlignment="1">
      <alignment horizontal="center" vertical="center"/>
    </xf>
    <xf numFmtId="164" fontId="9" fillId="20" borderId="10" xfId="0" applyNumberFormat="1" applyFont="1" applyFill="1" applyBorder="1" applyAlignment="1">
      <alignment horizontal="center"/>
    </xf>
    <xf numFmtId="166" fontId="9" fillId="2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4" fontId="10" fillId="24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vertical="center" wrapText="1"/>
    </xf>
    <xf numFmtId="0" fontId="9" fillId="20" borderId="16" xfId="0" applyFont="1" applyFill="1" applyBorder="1" applyAlignment="1">
      <alignment vertical="center" wrapText="1"/>
    </xf>
    <xf numFmtId="0" fontId="9" fillId="20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43" fontId="9" fillId="0" borderId="10" xfId="66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top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 wrapText="1"/>
    </xf>
    <xf numFmtId="1" fontId="10" fillId="25" borderId="10" xfId="0" applyNumberFormat="1" applyFont="1" applyFill="1" applyBorder="1" applyAlignment="1">
      <alignment horizontal="center" vertical="center" wrapText="1"/>
    </xf>
    <xf numFmtId="164" fontId="10" fillId="25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top" wrapText="1"/>
    </xf>
    <xf numFmtId="0" fontId="9" fillId="25" borderId="10" xfId="0" applyFont="1" applyFill="1" applyBorder="1" applyAlignment="1">
      <alignment horizontal="center" vertical="center" wrapText="1"/>
    </xf>
    <xf numFmtId="164" fontId="10" fillId="25" borderId="13" xfId="0" applyNumberFormat="1" applyFont="1" applyFill="1" applyBorder="1" applyAlignment="1">
      <alignment horizontal="center" vertical="center" wrapText="1"/>
    </xf>
    <xf numFmtId="164" fontId="10" fillId="25" borderId="13" xfId="66" applyNumberFormat="1" applyFont="1" applyFill="1" applyBorder="1" applyAlignment="1">
      <alignment horizontal="center" vertical="center"/>
    </xf>
    <xf numFmtId="1" fontId="9" fillId="20" borderId="10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9" fillId="2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164" fontId="9" fillId="20" borderId="10" xfId="0" applyNumberFormat="1" applyFont="1" applyFill="1" applyBorder="1" applyAlignment="1">
      <alignment horizontal="center" vertical="center"/>
    </xf>
    <xf numFmtId="43" fontId="9" fillId="0" borderId="10" xfId="66" applyFont="1" applyFill="1" applyBorder="1" applyAlignment="1">
      <alignment vertical="center"/>
    </xf>
    <xf numFmtId="0" fontId="15" fillId="25" borderId="0" xfId="0" applyFont="1" applyFill="1" applyAlignment="1">
      <alignment/>
    </xf>
    <xf numFmtId="0" fontId="9" fillId="25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/>
    </xf>
    <xf numFmtId="0" fontId="9" fillId="21" borderId="0" xfId="0" applyFont="1" applyFill="1" applyAlignment="1">
      <alignment/>
    </xf>
    <xf numFmtId="0" fontId="9" fillId="21" borderId="0" xfId="0" applyFont="1" applyFill="1" applyAlignment="1">
      <alignment vertical="center"/>
    </xf>
    <xf numFmtId="0" fontId="7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0" fillId="21" borderId="0" xfId="0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5" fillId="25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9" fillId="25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5" fillId="25" borderId="0" xfId="0" applyNumberFormat="1" applyFont="1" applyFill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5" fontId="10" fillId="0" borderId="12" xfId="66" applyNumberFormat="1" applyFont="1" applyFill="1" applyBorder="1" applyAlignment="1">
      <alignment horizontal="center" vertical="center"/>
    </xf>
    <xf numFmtId="165" fontId="10" fillId="0" borderId="16" xfId="66" applyNumberFormat="1" applyFont="1" applyFill="1" applyBorder="1" applyAlignment="1">
      <alignment horizontal="center" vertical="center"/>
    </xf>
    <xf numFmtId="165" fontId="10" fillId="0" borderId="13" xfId="66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130" zoomScaleNormal="130" zoomScalePageLayoutView="0" workbookViewId="0" topLeftCell="M1">
      <selection activeCell="M68" sqref="A68:IV68"/>
    </sheetView>
  </sheetViews>
  <sheetFormatPr defaultColWidth="9.140625" defaultRowHeight="15"/>
  <cols>
    <col min="1" max="1" width="9.140625" style="59" customWidth="1"/>
    <col min="2" max="2" width="20.57421875" style="0" customWidth="1"/>
    <col min="12" max="12" width="9.8515625" style="0" customWidth="1"/>
    <col min="13" max="13" width="2.00390625" style="97" customWidth="1"/>
    <col min="15" max="15" width="20.57421875" style="0" customWidth="1"/>
  </cols>
  <sheetData>
    <row r="1" spans="1:13" s="17" customFormat="1" ht="11.25">
      <c r="A1" s="66"/>
      <c r="B1" s="26"/>
      <c r="C1" s="26"/>
      <c r="D1" s="26"/>
      <c r="E1" s="26"/>
      <c r="F1" s="26"/>
      <c r="G1" s="26"/>
      <c r="H1" s="26"/>
      <c r="I1" s="26"/>
      <c r="J1" s="44" t="s">
        <v>0</v>
      </c>
      <c r="K1" s="44"/>
      <c r="L1" s="26"/>
      <c r="M1" s="93"/>
    </row>
    <row r="2" spans="1:26" s="17" customFormat="1" ht="11.25" customHeight="1">
      <c r="A2" s="136" t="s">
        <v>1</v>
      </c>
      <c r="B2" s="134" t="s">
        <v>2</v>
      </c>
      <c r="C2" s="134" t="s">
        <v>3</v>
      </c>
      <c r="D2" s="134"/>
      <c r="E2" s="134"/>
      <c r="F2" s="134"/>
      <c r="G2" s="134"/>
      <c r="H2" s="134"/>
      <c r="I2" s="134"/>
      <c r="J2" s="134"/>
      <c r="K2" s="134"/>
      <c r="L2" s="150" t="s">
        <v>14</v>
      </c>
      <c r="M2" s="93"/>
      <c r="N2" s="152" t="s">
        <v>1</v>
      </c>
      <c r="O2" s="130" t="s">
        <v>2</v>
      </c>
      <c r="P2" s="111" t="s">
        <v>35</v>
      </c>
      <c r="Q2" s="112"/>
      <c r="R2" s="112"/>
      <c r="S2" s="112"/>
      <c r="T2" s="112"/>
      <c r="U2" s="112"/>
      <c r="V2" s="112"/>
      <c r="W2" s="112"/>
      <c r="X2" s="112"/>
      <c r="Y2" s="113"/>
      <c r="Z2" s="152" t="s">
        <v>14</v>
      </c>
    </row>
    <row r="3" spans="1:26" s="17" customFormat="1" ht="34.5" customHeight="1">
      <c r="A3" s="136"/>
      <c r="B3" s="134"/>
      <c r="C3" s="134" t="s">
        <v>4</v>
      </c>
      <c r="D3" s="134" t="s">
        <v>5</v>
      </c>
      <c r="E3" s="134" t="s">
        <v>6</v>
      </c>
      <c r="F3" s="134"/>
      <c r="G3" s="134" t="s">
        <v>7</v>
      </c>
      <c r="H3" s="134" t="s">
        <v>8</v>
      </c>
      <c r="I3" s="134" t="s">
        <v>9</v>
      </c>
      <c r="J3" s="134" t="s">
        <v>208</v>
      </c>
      <c r="K3" s="134" t="s">
        <v>33</v>
      </c>
      <c r="L3" s="150"/>
      <c r="M3" s="93"/>
      <c r="N3" s="138"/>
      <c r="O3" s="110"/>
      <c r="P3" s="130" t="s">
        <v>36</v>
      </c>
      <c r="Q3" s="130" t="s">
        <v>37</v>
      </c>
      <c r="R3" s="130" t="s">
        <v>38</v>
      </c>
      <c r="S3" s="132" t="s">
        <v>39</v>
      </c>
      <c r="T3" s="133"/>
      <c r="U3" s="130" t="s">
        <v>40</v>
      </c>
      <c r="V3" s="130" t="s">
        <v>8</v>
      </c>
      <c r="W3" s="130" t="s">
        <v>9</v>
      </c>
      <c r="X3" s="134" t="s">
        <v>208</v>
      </c>
      <c r="Y3" s="134" t="s">
        <v>41</v>
      </c>
      <c r="Z3" s="138"/>
    </row>
    <row r="4" spans="1:26" s="17" customFormat="1" ht="80.25" customHeight="1">
      <c r="A4" s="136"/>
      <c r="B4" s="134"/>
      <c r="C4" s="134"/>
      <c r="D4" s="134"/>
      <c r="E4" s="45" t="s">
        <v>10</v>
      </c>
      <c r="F4" s="45" t="s">
        <v>11</v>
      </c>
      <c r="G4" s="134"/>
      <c r="H4" s="134"/>
      <c r="I4" s="134"/>
      <c r="J4" s="134"/>
      <c r="K4" s="134"/>
      <c r="L4" s="150"/>
      <c r="M4" s="93"/>
      <c r="N4" s="139"/>
      <c r="O4" s="131"/>
      <c r="P4" s="131"/>
      <c r="Q4" s="131"/>
      <c r="R4" s="131"/>
      <c r="S4" s="46" t="s">
        <v>10</v>
      </c>
      <c r="T4" s="47" t="s">
        <v>11</v>
      </c>
      <c r="U4" s="131"/>
      <c r="V4" s="131"/>
      <c r="W4" s="131"/>
      <c r="X4" s="134"/>
      <c r="Y4" s="134"/>
      <c r="Z4" s="139"/>
    </row>
    <row r="5" spans="1:26" s="17" customFormat="1" ht="11.2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16">
        <v>12</v>
      </c>
      <c r="M5" s="93"/>
      <c r="N5" s="45">
        <v>1</v>
      </c>
      <c r="O5" s="45">
        <v>2</v>
      </c>
      <c r="P5" s="45">
        <v>3</v>
      </c>
      <c r="Q5" s="45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5">
        <v>10</v>
      </c>
      <c r="X5" s="45">
        <v>11</v>
      </c>
      <c r="Y5" s="45">
        <v>12</v>
      </c>
      <c r="Z5" s="16">
        <v>13</v>
      </c>
    </row>
    <row r="6" spans="1:26" s="17" customFormat="1" ht="11.25">
      <c r="A6" s="41">
        <v>1</v>
      </c>
      <c r="B6" s="61" t="s">
        <v>45</v>
      </c>
      <c r="C6" s="45">
        <v>2.5</v>
      </c>
      <c r="D6" s="45">
        <v>0.38</v>
      </c>
      <c r="E6" s="45">
        <v>0.83</v>
      </c>
      <c r="F6" s="45">
        <v>30</v>
      </c>
      <c r="G6" s="45">
        <f>E6</f>
        <v>0.83</v>
      </c>
      <c r="H6" s="45">
        <v>0</v>
      </c>
      <c r="I6" s="45">
        <f>G6-H6</f>
        <v>0.83</v>
      </c>
      <c r="J6" s="45">
        <f>I6-D6</f>
        <v>0.44999999999999996</v>
      </c>
      <c r="K6" s="45">
        <f aca="true" t="shared" si="0" ref="K6:K12">J6</f>
        <v>0.44999999999999996</v>
      </c>
      <c r="L6" s="16" t="str">
        <f aca="true" t="shared" si="1" ref="L6:L44">IF(K6&lt;0,"закрыт","открыт")</f>
        <v>открыт</v>
      </c>
      <c r="M6" s="93"/>
      <c r="N6" s="41">
        <v>1</v>
      </c>
      <c r="O6" s="61" t="s">
        <v>45</v>
      </c>
      <c r="P6" s="45">
        <v>2.5</v>
      </c>
      <c r="Q6" s="71">
        <v>0.071</v>
      </c>
      <c r="R6" s="18">
        <f>Q6+D6</f>
        <v>0.451</v>
      </c>
      <c r="S6" s="19">
        <f>E6</f>
        <v>0.83</v>
      </c>
      <c r="T6" s="67">
        <f>F6</f>
        <v>30</v>
      </c>
      <c r="U6" s="45">
        <f>S6</f>
        <v>0.83</v>
      </c>
      <c r="V6" s="45">
        <v>0</v>
      </c>
      <c r="W6" s="69">
        <f>U6-V6</f>
        <v>0.83</v>
      </c>
      <c r="X6" s="45">
        <f>W6-R6</f>
        <v>0.37899999999999995</v>
      </c>
      <c r="Y6" s="13">
        <f>X6</f>
        <v>0.37899999999999995</v>
      </c>
      <c r="Z6" s="16" t="str">
        <f aca="true" t="shared" si="2" ref="Z6:Z40">IF(Y6&lt;0,"закрыт","открыт")</f>
        <v>открыт</v>
      </c>
    </row>
    <row r="7" spans="1:26" s="17" customFormat="1" ht="11.25">
      <c r="A7" s="41">
        <v>2</v>
      </c>
      <c r="B7" s="61" t="s">
        <v>46</v>
      </c>
      <c r="C7" s="45">
        <v>2.5</v>
      </c>
      <c r="D7" s="45">
        <v>0.31</v>
      </c>
      <c r="E7" s="45">
        <v>0.91</v>
      </c>
      <c r="F7" s="45">
        <v>90</v>
      </c>
      <c r="G7" s="45">
        <f aca="true" t="shared" si="3" ref="G7:G59">E7</f>
        <v>0.91</v>
      </c>
      <c r="H7" s="45">
        <v>0</v>
      </c>
      <c r="I7" s="45">
        <f aca="true" t="shared" si="4" ref="I7:I59">G7-H7</f>
        <v>0.91</v>
      </c>
      <c r="J7" s="45">
        <f aca="true" t="shared" si="5" ref="J7:J59">I7-D7</f>
        <v>0.6000000000000001</v>
      </c>
      <c r="K7" s="45">
        <f t="shared" si="0"/>
        <v>0.6000000000000001</v>
      </c>
      <c r="L7" s="16" t="str">
        <f t="shared" si="1"/>
        <v>открыт</v>
      </c>
      <c r="M7" s="93"/>
      <c r="N7" s="41">
        <v>2</v>
      </c>
      <c r="O7" s="61" t="s">
        <v>46</v>
      </c>
      <c r="P7" s="45">
        <v>2.5</v>
      </c>
      <c r="Q7" s="18">
        <v>0</v>
      </c>
      <c r="R7" s="18">
        <f aca="true" t="shared" si="6" ref="R7:R69">Q7+D7</f>
        <v>0.31</v>
      </c>
      <c r="S7" s="19">
        <f aca="true" t="shared" si="7" ref="S7:S60">E7</f>
        <v>0.91</v>
      </c>
      <c r="T7" s="67">
        <f aca="true" t="shared" si="8" ref="T7:T16">F7</f>
        <v>90</v>
      </c>
      <c r="U7" s="45">
        <f aca="true" t="shared" si="9" ref="U7:U59">S7</f>
        <v>0.91</v>
      </c>
      <c r="V7" s="45">
        <v>0</v>
      </c>
      <c r="W7" s="69">
        <f aca="true" t="shared" si="10" ref="W7:W59">U7-V7</f>
        <v>0.91</v>
      </c>
      <c r="X7" s="45">
        <f aca="true" t="shared" si="11" ref="X7:X59">W7-R7</f>
        <v>0.6000000000000001</v>
      </c>
      <c r="Y7" s="13">
        <f aca="true" t="shared" si="12" ref="Y7:Y59">X7</f>
        <v>0.6000000000000001</v>
      </c>
      <c r="Z7" s="16" t="str">
        <f t="shared" si="2"/>
        <v>открыт</v>
      </c>
    </row>
    <row r="8" spans="1:26" s="17" customFormat="1" ht="11.25">
      <c r="A8" s="41">
        <v>3</v>
      </c>
      <c r="B8" s="61" t="s">
        <v>47</v>
      </c>
      <c r="C8" s="45">
        <v>2.5</v>
      </c>
      <c r="D8" s="45">
        <v>0.65</v>
      </c>
      <c r="E8" s="45">
        <v>0.66</v>
      </c>
      <c r="F8" s="45">
        <v>120</v>
      </c>
      <c r="G8" s="45">
        <f t="shared" si="3"/>
        <v>0.66</v>
      </c>
      <c r="H8" s="45">
        <v>0</v>
      </c>
      <c r="I8" s="45">
        <f t="shared" si="4"/>
        <v>0.66</v>
      </c>
      <c r="J8" s="45">
        <f t="shared" si="5"/>
        <v>0.010000000000000009</v>
      </c>
      <c r="K8" s="45">
        <f t="shared" si="0"/>
        <v>0.010000000000000009</v>
      </c>
      <c r="L8" s="16" t="str">
        <f t="shared" si="1"/>
        <v>открыт</v>
      </c>
      <c r="M8" s="93"/>
      <c r="N8" s="41">
        <v>3</v>
      </c>
      <c r="O8" s="61" t="s">
        <v>47</v>
      </c>
      <c r="P8" s="45">
        <v>2.5</v>
      </c>
      <c r="Q8" s="18">
        <v>0.059</v>
      </c>
      <c r="R8" s="18">
        <f t="shared" si="6"/>
        <v>0.7090000000000001</v>
      </c>
      <c r="S8" s="69">
        <v>1.6</v>
      </c>
      <c r="T8" s="67" t="s">
        <v>214</v>
      </c>
      <c r="U8" s="45">
        <f t="shared" si="9"/>
        <v>1.6</v>
      </c>
      <c r="V8" s="45">
        <v>0</v>
      </c>
      <c r="W8" s="69">
        <f t="shared" si="10"/>
        <v>1.6</v>
      </c>
      <c r="X8" s="45">
        <f t="shared" si="11"/>
        <v>0.891</v>
      </c>
      <c r="Y8" s="13">
        <f t="shared" si="12"/>
        <v>0.891</v>
      </c>
      <c r="Z8" s="16" t="str">
        <f t="shared" si="2"/>
        <v>открыт</v>
      </c>
    </row>
    <row r="9" spans="1:26" s="17" customFormat="1" ht="11.25">
      <c r="A9" s="41">
        <v>4</v>
      </c>
      <c r="B9" s="61" t="s">
        <v>48</v>
      </c>
      <c r="C9" s="45">
        <v>3.2</v>
      </c>
      <c r="D9" s="45">
        <v>0.47</v>
      </c>
      <c r="E9" s="45">
        <v>1.56</v>
      </c>
      <c r="F9" s="45">
        <v>30</v>
      </c>
      <c r="G9" s="45">
        <f t="shared" si="3"/>
        <v>1.56</v>
      </c>
      <c r="H9" s="45">
        <v>0</v>
      </c>
      <c r="I9" s="45">
        <f t="shared" si="4"/>
        <v>1.56</v>
      </c>
      <c r="J9" s="45">
        <f t="shared" si="5"/>
        <v>1.09</v>
      </c>
      <c r="K9" s="45">
        <f t="shared" si="0"/>
        <v>1.09</v>
      </c>
      <c r="L9" s="16" t="str">
        <f t="shared" si="1"/>
        <v>открыт</v>
      </c>
      <c r="M9" s="93"/>
      <c r="N9" s="41">
        <v>4</v>
      </c>
      <c r="O9" s="61" t="s">
        <v>48</v>
      </c>
      <c r="P9" s="45">
        <v>3.2</v>
      </c>
      <c r="Q9" s="71">
        <v>0.038</v>
      </c>
      <c r="R9" s="18">
        <f t="shared" si="6"/>
        <v>0.508</v>
      </c>
      <c r="S9" s="19">
        <f t="shared" si="7"/>
        <v>1.56</v>
      </c>
      <c r="T9" s="67">
        <f t="shared" si="8"/>
        <v>30</v>
      </c>
      <c r="U9" s="45">
        <f t="shared" si="9"/>
        <v>1.56</v>
      </c>
      <c r="V9" s="45">
        <v>0</v>
      </c>
      <c r="W9" s="69">
        <f t="shared" si="10"/>
        <v>1.56</v>
      </c>
      <c r="X9" s="45">
        <f t="shared" si="11"/>
        <v>1.052</v>
      </c>
      <c r="Y9" s="13">
        <f t="shared" si="12"/>
        <v>1.052</v>
      </c>
      <c r="Z9" s="16" t="str">
        <f t="shared" si="2"/>
        <v>открыт</v>
      </c>
    </row>
    <row r="10" spans="1:26" s="17" customFormat="1" ht="11.25">
      <c r="A10" s="41">
        <v>5</v>
      </c>
      <c r="B10" s="61" t="s">
        <v>49</v>
      </c>
      <c r="C10" s="45">
        <v>1.6</v>
      </c>
      <c r="D10" s="45">
        <v>0.31</v>
      </c>
      <c r="E10" s="45">
        <v>0.71</v>
      </c>
      <c r="F10" s="45">
        <v>45</v>
      </c>
      <c r="G10" s="45">
        <f t="shared" si="3"/>
        <v>0.71</v>
      </c>
      <c r="H10" s="45">
        <v>0</v>
      </c>
      <c r="I10" s="45">
        <f t="shared" si="4"/>
        <v>0.71</v>
      </c>
      <c r="J10" s="45">
        <f t="shared" si="5"/>
        <v>0.39999999999999997</v>
      </c>
      <c r="K10" s="45">
        <f t="shared" si="0"/>
        <v>0.39999999999999997</v>
      </c>
      <c r="L10" s="16" t="str">
        <f t="shared" si="1"/>
        <v>открыт</v>
      </c>
      <c r="M10" s="93"/>
      <c r="N10" s="41">
        <v>5</v>
      </c>
      <c r="O10" s="61" t="s">
        <v>49</v>
      </c>
      <c r="P10" s="45">
        <v>1.6</v>
      </c>
      <c r="Q10" s="71">
        <v>0.012</v>
      </c>
      <c r="R10" s="18">
        <f t="shared" si="6"/>
        <v>0.322</v>
      </c>
      <c r="S10" s="19">
        <f t="shared" si="7"/>
        <v>0.71</v>
      </c>
      <c r="T10" s="67">
        <f t="shared" si="8"/>
        <v>45</v>
      </c>
      <c r="U10" s="45">
        <f t="shared" si="9"/>
        <v>0.71</v>
      </c>
      <c r="V10" s="45">
        <v>0</v>
      </c>
      <c r="W10" s="69">
        <f t="shared" si="10"/>
        <v>0.71</v>
      </c>
      <c r="X10" s="45">
        <f t="shared" si="11"/>
        <v>0.38799999999999996</v>
      </c>
      <c r="Y10" s="13">
        <f t="shared" si="12"/>
        <v>0.38799999999999996</v>
      </c>
      <c r="Z10" s="16" t="str">
        <f t="shared" si="2"/>
        <v>открыт</v>
      </c>
    </row>
    <row r="11" spans="1:26" s="17" customFormat="1" ht="11.25">
      <c r="A11" s="41">
        <v>6</v>
      </c>
      <c r="B11" s="73" t="s">
        <v>50</v>
      </c>
      <c r="C11" s="55">
        <v>2.5</v>
      </c>
      <c r="D11" s="55">
        <v>0.76</v>
      </c>
      <c r="E11" s="55">
        <v>1.6</v>
      </c>
      <c r="F11" s="55" t="s">
        <v>214</v>
      </c>
      <c r="G11" s="55">
        <f t="shared" si="3"/>
        <v>1.6</v>
      </c>
      <c r="H11" s="55">
        <v>0</v>
      </c>
      <c r="I11" s="55">
        <f t="shared" si="4"/>
        <v>1.6</v>
      </c>
      <c r="J11" s="55">
        <f t="shared" si="5"/>
        <v>0.8400000000000001</v>
      </c>
      <c r="K11" s="55">
        <f t="shared" si="0"/>
        <v>0.8400000000000001</v>
      </c>
      <c r="L11" s="92" t="str">
        <f t="shared" si="1"/>
        <v>открыт</v>
      </c>
      <c r="M11" s="93"/>
      <c r="N11" s="74">
        <v>6</v>
      </c>
      <c r="O11" s="73" t="s">
        <v>50</v>
      </c>
      <c r="P11" s="55">
        <v>2.5</v>
      </c>
      <c r="Q11" s="18">
        <v>0.025</v>
      </c>
      <c r="R11" s="71">
        <f t="shared" si="6"/>
        <v>0.785</v>
      </c>
      <c r="S11" s="69">
        <f t="shared" si="7"/>
        <v>1.6</v>
      </c>
      <c r="T11" s="70" t="str">
        <f t="shared" si="8"/>
        <v>1 сутки</v>
      </c>
      <c r="U11" s="55">
        <f t="shared" si="9"/>
        <v>1.6</v>
      </c>
      <c r="V11" s="55">
        <v>0</v>
      </c>
      <c r="W11" s="69">
        <f t="shared" si="10"/>
        <v>1.6</v>
      </c>
      <c r="X11" s="55">
        <f t="shared" si="11"/>
        <v>0.8150000000000001</v>
      </c>
      <c r="Y11" s="91">
        <f t="shared" si="12"/>
        <v>0.8150000000000001</v>
      </c>
      <c r="Z11" s="92" t="str">
        <f t="shared" si="2"/>
        <v>открыт</v>
      </c>
    </row>
    <row r="12" spans="1:26" s="17" customFormat="1" ht="11.25">
      <c r="A12" s="41">
        <v>7</v>
      </c>
      <c r="B12" s="61" t="s">
        <v>51</v>
      </c>
      <c r="C12" s="45">
        <v>2.5</v>
      </c>
      <c r="D12" s="45">
        <v>0.28</v>
      </c>
      <c r="E12" s="45">
        <v>1.29</v>
      </c>
      <c r="F12" s="45">
        <v>45</v>
      </c>
      <c r="G12" s="45">
        <f t="shared" si="3"/>
        <v>1.29</v>
      </c>
      <c r="H12" s="45">
        <v>0</v>
      </c>
      <c r="I12" s="45">
        <f t="shared" si="4"/>
        <v>1.29</v>
      </c>
      <c r="J12" s="45">
        <f t="shared" si="5"/>
        <v>1.01</v>
      </c>
      <c r="K12" s="45">
        <f t="shared" si="0"/>
        <v>1.01</v>
      </c>
      <c r="L12" s="16" t="str">
        <f t="shared" si="1"/>
        <v>открыт</v>
      </c>
      <c r="M12" s="93"/>
      <c r="N12" s="41">
        <v>7</v>
      </c>
      <c r="O12" s="61" t="s">
        <v>51</v>
      </c>
      <c r="P12" s="45">
        <v>2.5</v>
      </c>
      <c r="Q12" s="71">
        <v>0.056</v>
      </c>
      <c r="R12" s="18">
        <f t="shared" si="6"/>
        <v>0.336</v>
      </c>
      <c r="S12" s="19">
        <f t="shared" si="7"/>
        <v>1.29</v>
      </c>
      <c r="T12" s="67">
        <f t="shared" si="8"/>
        <v>45</v>
      </c>
      <c r="U12" s="45">
        <f t="shared" si="9"/>
        <v>1.29</v>
      </c>
      <c r="V12" s="45">
        <v>0</v>
      </c>
      <c r="W12" s="69">
        <f t="shared" si="10"/>
        <v>1.29</v>
      </c>
      <c r="X12" s="45">
        <f t="shared" si="11"/>
        <v>0.954</v>
      </c>
      <c r="Y12" s="13">
        <f t="shared" si="12"/>
        <v>0.954</v>
      </c>
      <c r="Z12" s="16" t="str">
        <f t="shared" si="2"/>
        <v>открыт</v>
      </c>
    </row>
    <row r="13" spans="1:26" s="17" customFormat="1" ht="22.5">
      <c r="A13" s="150">
        <v>8</v>
      </c>
      <c r="B13" s="61" t="s">
        <v>52</v>
      </c>
      <c r="C13" s="45">
        <v>10</v>
      </c>
      <c r="D13" s="45">
        <v>5.93</v>
      </c>
      <c r="E13" s="45">
        <f>E15+E14</f>
        <v>6.140000000000001</v>
      </c>
      <c r="F13" s="45">
        <v>60</v>
      </c>
      <c r="G13" s="45">
        <f>E13-D13</f>
        <v>0.21000000000000085</v>
      </c>
      <c r="H13" s="45">
        <v>0</v>
      </c>
      <c r="I13" s="45">
        <f>E13</f>
        <v>6.140000000000001</v>
      </c>
      <c r="J13" s="45">
        <f t="shared" si="5"/>
        <v>0.21000000000000085</v>
      </c>
      <c r="K13" s="135">
        <f>MIN(J13:J15)</f>
        <v>0.21000000000000085</v>
      </c>
      <c r="L13" s="136" t="str">
        <f t="shared" si="1"/>
        <v>открыт</v>
      </c>
      <c r="M13" s="93"/>
      <c r="N13" s="137">
        <v>8</v>
      </c>
      <c r="O13" s="63" t="s">
        <v>52</v>
      </c>
      <c r="P13" s="23">
        <v>10</v>
      </c>
      <c r="Q13" s="29">
        <f>Q15+Q14</f>
        <v>3.1630000000000003</v>
      </c>
      <c r="R13" s="29">
        <f>R14+R15</f>
        <v>9.123000000000001</v>
      </c>
      <c r="S13" s="23">
        <f>S15+S14</f>
        <v>6.140000000000001</v>
      </c>
      <c r="T13" s="68">
        <f t="shared" si="8"/>
        <v>60</v>
      </c>
      <c r="U13" s="23">
        <f t="shared" si="9"/>
        <v>6.140000000000001</v>
      </c>
      <c r="V13" s="23">
        <v>0</v>
      </c>
      <c r="W13" s="23">
        <f t="shared" si="10"/>
        <v>6.140000000000001</v>
      </c>
      <c r="X13" s="23">
        <f t="shared" si="11"/>
        <v>-2.9830000000000005</v>
      </c>
      <c r="Y13" s="127">
        <f>X13</f>
        <v>-2.9830000000000005</v>
      </c>
      <c r="Z13" s="141" t="str">
        <f t="shared" si="2"/>
        <v>закрыт</v>
      </c>
    </row>
    <row r="14" spans="1:26" s="88" customFormat="1" ht="11.25">
      <c r="A14" s="150"/>
      <c r="B14" s="73" t="s">
        <v>206</v>
      </c>
      <c r="C14" s="55">
        <v>10</v>
      </c>
      <c r="D14" s="45">
        <v>2.66</v>
      </c>
      <c r="E14" s="55">
        <v>1.94</v>
      </c>
      <c r="F14" s="55">
        <v>60</v>
      </c>
      <c r="G14" s="55" t="s">
        <v>213</v>
      </c>
      <c r="H14" s="55" t="s">
        <v>213</v>
      </c>
      <c r="I14" s="55" t="s">
        <v>213</v>
      </c>
      <c r="J14" s="55" t="s">
        <v>213</v>
      </c>
      <c r="K14" s="135"/>
      <c r="L14" s="136"/>
      <c r="M14" s="93"/>
      <c r="N14" s="137"/>
      <c r="O14" s="63" t="s">
        <v>206</v>
      </c>
      <c r="P14" s="23">
        <v>10</v>
      </c>
      <c r="Q14" s="103">
        <f>Q9+Q11+Q90</f>
        <v>0.075</v>
      </c>
      <c r="R14" s="29">
        <f t="shared" si="6"/>
        <v>2.7350000000000003</v>
      </c>
      <c r="S14" s="23">
        <v>1.94</v>
      </c>
      <c r="T14" s="23">
        <v>60</v>
      </c>
      <c r="U14" s="23">
        <f>S14</f>
        <v>1.94</v>
      </c>
      <c r="V14" s="23">
        <v>0</v>
      </c>
      <c r="W14" s="23">
        <f>U14-V14</f>
        <v>1.94</v>
      </c>
      <c r="X14" s="23">
        <f>W14-R14</f>
        <v>-0.7950000000000004</v>
      </c>
      <c r="Y14" s="128"/>
      <c r="Z14" s="142"/>
    </row>
    <row r="15" spans="1:26" s="17" customFormat="1" ht="11.25">
      <c r="A15" s="150"/>
      <c r="B15" s="61" t="s">
        <v>207</v>
      </c>
      <c r="C15" s="45">
        <v>10</v>
      </c>
      <c r="D15" s="45">
        <v>3.3</v>
      </c>
      <c r="E15" s="45">
        <v>4.2</v>
      </c>
      <c r="F15" s="45">
        <v>60</v>
      </c>
      <c r="G15" s="45">
        <f>E15-D15</f>
        <v>0.9000000000000004</v>
      </c>
      <c r="H15" s="45">
        <v>0</v>
      </c>
      <c r="I15" s="45">
        <f>E15</f>
        <v>4.2</v>
      </c>
      <c r="J15" s="45">
        <f t="shared" si="5"/>
        <v>0.9000000000000004</v>
      </c>
      <c r="K15" s="135"/>
      <c r="L15" s="136"/>
      <c r="M15" s="93"/>
      <c r="N15" s="137"/>
      <c r="O15" s="63" t="s">
        <v>207</v>
      </c>
      <c r="P15" s="23">
        <v>10</v>
      </c>
      <c r="Q15" s="29">
        <v>3.088</v>
      </c>
      <c r="R15" s="29">
        <f t="shared" si="6"/>
        <v>6.388</v>
      </c>
      <c r="S15" s="23">
        <v>4.2</v>
      </c>
      <c r="T15" s="23">
        <v>60</v>
      </c>
      <c r="U15" s="23">
        <f t="shared" si="9"/>
        <v>4.2</v>
      </c>
      <c r="V15" s="23">
        <v>0</v>
      </c>
      <c r="W15" s="23">
        <f t="shared" si="10"/>
        <v>4.2</v>
      </c>
      <c r="X15" s="23">
        <f t="shared" si="11"/>
        <v>-2.1879999999999997</v>
      </c>
      <c r="Y15" s="129"/>
      <c r="Z15" s="143"/>
    </row>
    <row r="16" spans="1:26" s="17" customFormat="1" ht="22.5">
      <c r="A16" s="137">
        <v>9</v>
      </c>
      <c r="B16" s="63" t="s">
        <v>53</v>
      </c>
      <c r="C16" s="23">
        <v>16</v>
      </c>
      <c r="D16" s="23">
        <f>D18+D17</f>
        <v>3.13</v>
      </c>
      <c r="E16" s="23">
        <f>E17+E18</f>
        <v>3.71</v>
      </c>
      <c r="F16" s="23">
        <v>30</v>
      </c>
      <c r="G16" s="23">
        <f t="shared" si="3"/>
        <v>3.71</v>
      </c>
      <c r="H16" s="23">
        <v>0</v>
      </c>
      <c r="I16" s="23">
        <f t="shared" si="4"/>
        <v>3.71</v>
      </c>
      <c r="J16" s="23">
        <f t="shared" si="5"/>
        <v>0.5800000000000001</v>
      </c>
      <c r="K16" s="137">
        <f>MIN(J16:J18)</f>
        <v>-0.2699999999999998</v>
      </c>
      <c r="L16" s="137" t="str">
        <f t="shared" si="1"/>
        <v>закрыт</v>
      </c>
      <c r="M16" s="93"/>
      <c r="N16" s="137">
        <v>9</v>
      </c>
      <c r="O16" s="63" t="s">
        <v>53</v>
      </c>
      <c r="P16" s="23">
        <v>16</v>
      </c>
      <c r="Q16" s="29">
        <f>Q18+Q17</f>
        <v>0.652</v>
      </c>
      <c r="R16" s="29">
        <f>R17+R18</f>
        <v>3.782</v>
      </c>
      <c r="S16" s="64">
        <f>E16</f>
        <v>3.71</v>
      </c>
      <c r="T16" s="68">
        <f t="shared" si="8"/>
        <v>30</v>
      </c>
      <c r="U16" s="23">
        <f t="shared" si="9"/>
        <v>3.71</v>
      </c>
      <c r="V16" s="23">
        <v>0</v>
      </c>
      <c r="W16" s="23">
        <f t="shared" si="10"/>
        <v>3.71</v>
      </c>
      <c r="X16" s="23">
        <f t="shared" si="11"/>
        <v>-0.07200000000000006</v>
      </c>
      <c r="Y16" s="127">
        <f>X18</f>
        <v>-0.7009999999999998</v>
      </c>
      <c r="Z16" s="141" t="str">
        <f>IF(Y16&lt;0,"закрыт","открыт")</f>
        <v>закрыт</v>
      </c>
    </row>
    <row r="17" spans="1:26" s="17" customFormat="1" ht="11.25">
      <c r="A17" s="137"/>
      <c r="B17" s="63" t="s">
        <v>206</v>
      </c>
      <c r="C17" s="23">
        <v>16</v>
      </c>
      <c r="D17" s="23">
        <v>1.75</v>
      </c>
      <c r="E17" s="23">
        <v>2.6</v>
      </c>
      <c r="F17" s="23">
        <v>30</v>
      </c>
      <c r="G17" s="23"/>
      <c r="H17" s="23"/>
      <c r="I17" s="23"/>
      <c r="J17" s="23"/>
      <c r="K17" s="137"/>
      <c r="L17" s="137"/>
      <c r="M17" s="93"/>
      <c r="N17" s="137"/>
      <c r="O17" s="63" t="s">
        <v>206</v>
      </c>
      <c r="P17" s="23">
        <v>16</v>
      </c>
      <c r="Q17" s="29">
        <f>Q21+Q88+Q86+Q95</f>
        <v>0.221</v>
      </c>
      <c r="R17" s="29">
        <f t="shared" si="6"/>
        <v>1.971</v>
      </c>
      <c r="S17" s="64">
        <f t="shared" si="7"/>
        <v>2.6</v>
      </c>
      <c r="T17" s="68">
        <f aca="true" t="shared" si="13" ref="T17:T60">F17</f>
        <v>30</v>
      </c>
      <c r="U17" s="23">
        <f t="shared" si="9"/>
        <v>2.6</v>
      </c>
      <c r="V17" s="23">
        <v>0</v>
      </c>
      <c r="W17" s="23">
        <f t="shared" si="10"/>
        <v>2.6</v>
      </c>
      <c r="X17" s="23">
        <f t="shared" si="11"/>
        <v>0.629</v>
      </c>
      <c r="Y17" s="128"/>
      <c r="Z17" s="142"/>
    </row>
    <row r="18" spans="1:26" s="17" customFormat="1" ht="11.25">
      <c r="A18" s="137"/>
      <c r="B18" s="63" t="s">
        <v>207</v>
      </c>
      <c r="C18" s="23">
        <v>16</v>
      </c>
      <c r="D18" s="23">
        <v>1.38</v>
      </c>
      <c r="E18" s="23">
        <v>1.11</v>
      </c>
      <c r="F18" s="23">
        <v>30</v>
      </c>
      <c r="G18" s="23">
        <f t="shared" si="3"/>
        <v>1.11</v>
      </c>
      <c r="H18" s="23">
        <v>0</v>
      </c>
      <c r="I18" s="23">
        <f t="shared" si="4"/>
        <v>1.11</v>
      </c>
      <c r="J18" s="23">
        <f t="shared" si="5"/>
        <v>-0.2699999999999998</v>
      </c>
      <c r="K18" s="137"/>
      <c r="L18" s="137"/>
      <c r="M18" s="94"/>
      <c r="N18" s="137"/>
      <c r="O18" s="63" t="s">
        <v>207</v>
      </c>
      <c r="P18" s="23">
        <v>16</v>
      </c>
      <c r="Q18" s="29">
        <v>0.431</v>
      </c>
      <c r="R18" s="29">
        <f t="shared" si="6"/>
        <v>1.811</v>
      </c>
      <c r="S18" s="64">
        <f t="shared" si="7"/>
        <v>1.11</v>
      </c>
      <c r="T18" s="68">
        <f t="shared" si="13"/>
        <v>30</v>
      </c>
      <c r="U18" s="23">
        <f t="shared" si="9"/>
        <v>1.11</v>
      </c>
      <c r="V18" s="23">
        <v>0</v>
      </c>
      <c r="W18" s="23">
        <f t="shared" si="10"/>
        <v>1.11</v>
      </c>
      <c r="X18" s="23">
        <f t="shared" si="11"/>
        <v>-0.7009999999999998</v>
      </c>
      <c r="Y18" s="129"/>
      <c r="Z18" s="143"/>
    </row>
    <row r="19" spans="1:26" s="17" customFormat="1" ht="11.25">
      <c r="A19" s="41">
        <v>10</v>
      </c>
      <c r="B19" s="61" t="s">
        <v>54</v>
      </c>
      <c r="C19" s="45">
        <v>2.5</v>
      </c>
      <c r="D19" s="45">
        <v>0.6</v>
      </c>
      <c r="E19" s="45">
        <v>1.33</v>
      </c>
      <c r="F19" s="45">
        <v>45</v>
      </c>
      <c r="G19" s="45">
        <f t="shared" si="3"/>
        <v>1.33</v>
      </c>
      <c r="H19" s="55">
        <v>0</v>
      </c>
      <c r="I19" s="45">
        <f t="shared" si="4"/>
        <v>1.33</v>
      </c>
      <c r="J19" s="45">
        <f t="shared" si="5"/>
        <v>0.7300000000000001</v>
      </c>
      <c r="K19" s="55">
        <f aca="true" t="shared" si="14" ref="K19:K40">J19</f>
        <v>0.7300000000000001</v>
      </c>
      <c r="L19" s="16" t="str">
        <f t="shared" si="1"/>
        <v>открыт</v>
      </c>
      <c r="M19" s="94"/>
      <c r="N19" s="41">
        <v>10</v>
      </c>
      <c r="O19" s="61" t="s">
        <v>54</v>
      </c>
      <c r="P19" s="45">
        <v>2.5</v>
      </c>
      <c r="Q19" s="71">
        <v>0.093</v>
      </c>
      <c r="R19" s="18">
        <f t="shared" si="6"/>
        <v>0.693</v>
      </c>
      <c r="S19" s="19">
        <f t="shared" si="7"/>
        <v>1.33</v>
      </c>
      <c r="T19" s="67">
        <f t="shared" si="13"/>
        <v>45</v>
      </c>
      <c r="U19" s="45">
        <f t="shared" si="9"/>
        <v>1.33</v>
      </c>
      <c r="V19" s="45">
        <v>0</v>
      </c>
      <c r="W19" s="45">
        <f t="shared" si="10"/>
        <v>1.33</v>
      </c>
      <c r="X19" s="45">
        <f t="shared" si="11"/>
        <v>0.6370000000000001</v>
      </c>
      <c r="Y19" s="13">
        <f t="shared" si="12"/>
        <v>0.6370000000000001</v>
      </c>
      <c r="Z19" s="16" t="str">
        <f t="shared" si="2"/>
        <v>открыт</v>
      </c>
    </row>
    <row r="20" spans="1:26" s="17" customFormat="1" ht="11.25">
      <c r="A20" s="41">
        <v>11</v>
      </c>
      <c r="B20" s="61" t="s">
        <v>55</v>
      </c>
      <c r="C20" s="45">
        <v>1.8</v>
      </c>
      <c r="D20" s="45">
        <v>0.15</v>
      </c>
      <c r="E20" s="45">
        <v>0.48</v>
      </c>
      <c r="F20" s="45">
        <v>90</v>
      </c>
      <c r="G20" s="45">
        <f t="shared" si="3"/>
        <v>0.48</v>
      </c>
      <c r="H20" s="55">
        <v>0</v>
      </c>
      <c r="I20" s="45">
        <f t="shared" si="4"/>
        <v>0.48</v>
      </c>
      <c r="J20" s="45">
        <f t="shared" si="5"/>
        <v>0.32999999999999996</v>
      </c>
      <c r="K20" s="55">
        <f t="shared" si="14"/>
        <v>0.32999999999999996</v>
      </c>
      <c r="L20" s="16" t="str">
        <f t="shared" si="1"/>
        <v>открыт</v>
      </c>
      <c r="M20" s="94"/>
      <c r="N20" s="41">
        <v>11</v>
      </c>
      <c r="O20" s="61" t="s">
        <v>55</v>
      </c>
      <c r="P20" s="45">
        <v>1.8</v>
      </c>
      <c r="Q20" s="71">
        <v>0.093</v>
      </c>
      <c r="R20" s="18">
        <f t="shared" si="6"/>
        <v>0.243</v>
      </c>
      <c r="S20" s="19">
        <f t="shared" si="7"/>
        <v>0.48</v>
      </c>
      <c r="T20" s="67">
        <f t="shared" si="13"/>
        <v>90</v>
      </c>
      <c r="U20" s="45">
        <f t="shared" si="9"/>
        <v>0.48</v>
      </c>
      <c r="V20" s="45">
        <v>0</v>
      </c>
      <c r="W20" s="45">
        <f t="shared" si="10"/>
        <v>0.48</v>
      </c>
      <c r="X20" s="45">
        <f t="shared" si="11"/>
        <v>0.237</v>
      </c>
      <c r="Y20" s="13">
        <f t="shared" si="12"/>
        <v>0.237</v>
      </c>
      <c r="Z20" s="16" t="str">
        <f t="shared" si="2"/>
        <v>открыт</v>
      </c>
    </row>
    <row r="21" spans="1:26" s="17" customFormat="1" ht="11.25">
      <c r="A21" s="41">
        <v>12</v>
      </c>
      <c r="B21" s="61" t="s">
        <v>56</v>
      </c>
      <c r="C21" s="45">
        <v>1.6</v>
      </c>
      <c r="D21" s="45">
        <v>0.31</v>
      </c>
      <c r="E21" s="45">
        <v>1.29</v>
      </c>
      <c r="F21" s="45">
        <v>30</v>
      </c>
      <c r="G21" s="45">
        <f t="shared" si="3"/>
        <v>1.29</v>
      </c>
      <c r="H21" s="55">
        <v>0</v>
      </c>
      <c r="I21" s="45">
        <f t="shared" si="4"/>
        <v>1.29</v>
      </c>
      <c r="J21" s="45">
        <f t="shared" si="5"/>
        <v>0.98</v>
      </c>
      <c r="K21" s="55">
        <f t="shared" si="14"/>
        <v>0.98</v>
      </c>
      <c r="L21" s="16" t="str">
        <f t="shared" si="1"/>
        <v>открыт</v>
      </c>
      <c r="M21" s="94"/>
      <c r="N21" s="41">
        <v>12</v>
      </c>
      <c r="O21" s="61" t="s">
        <v>56</v>
      </c>
      <c r="P21" s="45">
        <v>1.6</v>
      </c>
      <c r="Q21" s="71">
        <v>0.111</v>
      </c>
      <c r="R21" s="18">
        <f t="shared" si="6"/>
        <v>0.421</v>
      </c>
      <c r="S21" s="19">
        <f t="shared" si="7"/>
        <v>1.29</v>
      </c>
      <c r="T21" s="67">
        <f t="shared" si="13"/>
        <v>30</v>
      </c>
      <c r="U21" s="45">
        <f t="shared" si="9"/>
        <v>1.29</v>
      </c>
      <c r="V21" s="45">
        <v>0</v>
      </c>
      <c r="W21" s="45">
        <f t="shared" si="10"/>
        <v>1.29</v>
      </c>
      <c r="X21" s="45">
        <f t="shared" si="11"/>
        <v>0.869</v>
      </c>
      <c r="Y21" s="13">
        <f t="shared" si="12"/>
        <v>0.869</v>
      </c>
      <c r="Z21" s="16" t="str">
        <f t="shared" si="2"/>
        <v>открыт</v>
      </c>
    </row>
    <row r="22" spans="1:26" s="17" customFormat="1" ht="11.25">
      <c r="A22" s="41">
        <v>13</v>
      </c>
      <c r="B22" s="61" t="s">
        <v>57</v>
      </c>
      <c r="C22" s="45">
        <v>2.5</v>
      </c>
      <c r="D22" s="45">
        <v>0.34</v>
      </c>
      <c r="E22" s="45">
        <v>0.96</v>
      </c>
      <c r="F22" s="45">
        <v>60</v>
      </c>
      <c r="G22" s="45">
        <f t="shared" si="3"/>
        <v>0.96</v>
      </c>
      <c r="H22" s="55">
        <v>0</v>
      </c>
      <c r="I22" s="45">
        <f t="shared" si="4"/>
        <v>0.96</v>
      </c>
      <c r="J22" s="45">
        <f t="shared" si="5"/>
        <v>0.6199999999999999</v>
      </c>
      <c r="K22" s="55">
        <f t="shared" si="14"/>
        <v>0.6199999999999999</v>
      </c>
      <c r="L22" s="16" t="str">
        <f t="shared" si="1"/>
        <v>открыт</v>
      </c>
      <c r="M22" s="94"/>
      <c r="N22" s="41">
        <v>13</v>
      </c>
      <c r="O22" s="61" t="s">
        <v>57</v>
      </c>
      <c r="P22" s="45">
        <v>2.5</v>
      </c>
      <c r="Q22" s="71">
        <v>0.004</v>
      </c>
      <c r="R22" s="18">
        <f t="shared" si="6"/>
        <v>0.34400000000000003</v>
      </c>
      <c r="S22" s="19">
        <f t="shared" si="7"/>
        <v>0.96</v>
      </c>
      <c r="T22" s="67">
        <f t="shared" si="13"/>
        <v>60</v>
      </c>
      <c r="U22" s="45">
        <f t="shared" si="9"/>
        <v>0.96</v>
      </c>
      <c r="V22" s="45">
        <v>0</v>
      </c>
      <c r="W22" s="45">
        <f t="shared" si="10"/>
        <v>0.96</v>
      </c>
      <c r="X22" s="45">
        <f t="shared" si="11"/>
        <v>0.6159999999999999</v>
      </c>
      <c r="Y22" s="13">
        <f t="shared" si="12"/>
        <v>0.6159999999999999</v>
      </c>
      <c r="Z22" s="16" t="str">
        <f t="shared" si="2"/>
        <v>открыт</v>
      </c>
    </row>
    <row r="23" spans="1:26" s="17" customFormat="1" ht="11.25">
      <c r="A23" s="150">
        <v>14</v>
      </c>
      <c r="B23" s="61" t="s">
        <v>58</v>
      </c>
      <c r="C23" s="45">
        <v>16</v>
      </c>
      <c r="D23" s="45">
        <v>2.53</v>
      </c>
      <c r="E23" s="45">
        <f>E24+E25</f>
        <v>4.16</v>
      </c>
      <c r="F23" s="45">
        <v>45</v>
      </c>
      <c r="G23" s="45">
        <f t="shared" si="3"/>
        <v>4.16</v>
      </c>
      <c r="H23" s="55">
        <v>0</v>
      </c>
      <c r="I23" s="45">
        <f t="shared" si="4"/>
        <v>4.16</v>
      </c>
      <c r="J23" s="45">
        <f t="shared" si="5"/>
        <v>1.6300000000000003</v>
      </c>
      <c r="K23" s="135">
        <f>MIN(J23:J25)</f>
        <v>0.72</v>
      </c>
      <c r="L23" s="136" t="str">
        <f t="shared" si="1"/>
        <v>открыт</v>
      </c>
      <c r="M23" s="94"/>
      <c r="N23" s="150">
        <v>14</v>
      </c>
      <c r="O23" s="61" t="s">
        <v>58</v>
      </c>
      <c r="P23" s="45">
        <v>16</v>
      </c>
      <c r="Q23" s="71">
        <f>Q25+Q24</f>
        <v>0.16199999999999998</v>
      </c>
      <c r="R23" s="18">
        <f>R24+R25</f>
        <v>2.702</v>
      </c>
      <c r="S23" s="19">
        <f t="shared" si="7"/>
        <v>4.16</v>
      </c>
      <c r="T23" s="67">
        <f t="shared" si="13"/>
        <v>45</v>
      </c>
      <c r="U23" s="45">
        <f t="shared" si="9"/>
        <v>4.16</v>
      </c>
      <c r="V23" s="55">
        <v>0</v>
      </c>
      <c r="W23" s="45">
        <f t="shared" si="10"/>
        <v>4.16</v>
      </c>
      <c r="X23" s="45">
        <f t="shared" si="11"/>
        <v>1.4580000000000002</v>
      </c>
      <c r="Y23" s="140">
        <f t="shared" si="12"/>
        <v>1.4580000000000002</v>
      </c>
      <c r="Z23" s="152" t="str">
        <f>IF(Y23&lt;0,"закрыт","открыт")</f>
        <v>открыт</v>
      </c>
    </row>
    <row r="24" spans="1:26" s="88" customFormat="1" ht="11.25">
      <c r="A24" s="150"/>
      <c r="B24" s="73" t="s">
        <v>206</v>
      </c>
      <c r="C24" s="55">
        <v>16</v>
      </c>
      <c r="D24" s="45">
        <v>1.46</v>
      </c>
      <c r="E24" s="55">
        <v>2.36</v>
      </c>
      <c r="F24" s="55">
        <v>45</v>
      </c>
      <c r="G24" s="55" t="s">
        <v>213</v>
      </c>
      <c r="H24" s="55" t="s">
        <v>213</v>
      </c>
      <c r="I24" s="55" t="s">
        <v>213</v>
      </c>
      <c r="J24" s="55" t="s">
        <v>213</v>
      </c>
      <c r="K24" s="135"/>
      <c r="L24" s="136"/>
      <c r="M24" s="94"/>
      <c r="N24" s="150"/>
      <c r="O24" s="73" t="s">
        <v>206</v>
      </c>
      <c r="P24" s="55">
        <v>16</v>
      </c>
      <c r="Q24" s="71">
        <f>Q85+Q7</f>
        <v>0.019</v>
      </c>
      <c r="R24" s="71">
        <f t="shared" si="6"/>
        <v>1.4789999999999999</v>
      </c>
      <c r="S24" s="69">
        <f t="shared" si="7"/>
        <v>2.36</v>
      </c>
      <c r="T24" s="70">
        <f t="shared" si="13"/>
        <v>45</v>
      </c>
      <c r="U24" s="55">
        <f t="shared" si="9"/>
        <v>2.36</v>
      </c>
      <c r="V24" s="55">
        <v>0</v>
      </c>
      <c r="W24" s="55">
        <f t="shared" si="10"/>
        <v>2.36</v>
      </c>
      <c r="X24" s="55">
        <f t="shared" si="11"/>
        <v>0.881</v>
      </c>
      <c r="Y24" s="125"/>
      <c r="Z24" s="138"/>
    </row>
    <row r="25" spans="1:26" s="88" customFormat="1" ht="11.25">
      <c r="A25" s="150"/>
      <c r="B25" s="73" t="s">
        <v>207</v>
      </c>
      <c r="C25" s="55">
        <v>16</v>
      </c>
      <c r="D25" s="45">
        <v>1.08</v>
      </c>
      <c r="E25" s="55">
        <v>1.8</v>
      </c>
      <c r="F25" s="55">
        <v>45</v>
      </c>
      <c r="G25" s="55">
        <f t="shared" si="3"/>
        <v>1.8</v>
      </c>
      <c r="H25" s="55">
        <v>0</v>
      </c>
      <c r="I25" s="55">
        <f t="shared" si="4"/>
        <v>1.8</v>
      </c>
      <c r="J25" s="55">
        <f t="shared" si="5"/>
        <v>0.72</v>
      </c>
      <c r="K25" s="135"/>
      <c r="L25" s="136"/>
      <c r="M25" s="94"/>
      <c r="N25" s="150"/>
      <c r="O25" s="73" t="s">
        <v>207</v>
      </c>
      <c r="P25" s="55">
        <v>16</v>
      </c>
      <c r="Q25" s="71">
        <v>0.143</v>
      </c>
      <c r="R25" s="71">
        <f t="shared" si="6"/>
        <v>1.223</v>
      </c>
      <c r="S25" s="69">
        <f t="shared" si="7"/>
        <v>1.8</v>
      </c>
      <c r="T25" s="70">
        <f t="shared" si="13"/>
        <v>45</v>
      </c>
      <c r="U25" s="55">
        <f t="shared" si="9"/>
        <v>1.8</v>
      </c>
      <c r="V25" s="55">
        <v>0</v>
      </c>
      <c r="W25" s="55">
        <f t="shared" si="10"/>
        <v>1.8</v>
      </c>
      <c r="X25" s="55">
        <f t="shared" si="11"/>
        <v>0.577</v>
      </c>
      <c r="Y25" s="126"/>
      <c r="Z25" s="139"/>
    </row>
    <row r="26" spans="1:26" s="88" customFormat="1" ht="11.25">
      <c r="A26" s="74">
        <v>15</v>
      </c>
      <c r="B26" s="73" t="s">
        <v>59</v>
      </c>
      <c r="C26" s="55">
        <v>5.6</v>
      </c>
      <c r="D26" s="45">
        <v>0.09</v>
      </c>
      <c r="E26" s="55">
        <v>0.8</v>
      </c>
      <c r="F26" s="55">
        <v>90</v>
      </c>
      <c r="G26" s="55">
        <f t="shared" si="3"/>
        <v>0.8</v>
      </c>
      <c r="H26" s="55">
        <v>0</v>
      </c>
      <c r="I26" s="55">
        <f t="shared" si="4"/>
        <v>0.8</v>
      </c>
      <c r="J26" s="55">
        <f t="shared" si="5"/>
        <v>0.7100000000000001</v>
      </c>
      <c r="K26" s="55">
        <f t="shared" si="14"/>
        <v>0.7100000000000001</v>
      </c>
      <c r="L26" s="92" t="str">
        <f t="shared" si="1"/>
        <v>открыт</v>
      </c>
      <c r="M26" s="94"/>
      <c r="N26" s="74">
        <v>15</v>
      </c>
      <c r="O26" s="73" t="s">
        <v>59</v>
      </c>
      <c r="P26" s="55">
        <v>5.6</v>
      </c>
      <c r="Q26" s="71">
        <v>0.015</v>
      </c>
      <c r="R26" s="71">
        <f t="shared" si="6"/>
        <v>0.105</v>
      </c>
      <c r="S26" s="69">
        <f t="shared" si="7"/>
        <v>0.8</v>
      </c>
      <c r="T26" s="70">
        <f t="shared" si="13"/>
        <v>90</v>
      </c>
      <c r="U26" s="55">
        <f t="shared" si="9"/>
        <v>0.8</v>
      </c>
      <c r="V26" s="55">
        <v>0</v>
      </c>
      <c r="W26" s="55">
        <f t="shared" si="10"/>
        <v>0.8</v>
      </c>
      <c r="X26" s="55">
        <f t="shared" si="11"/>
        <v>0.6950000000000001</v>
      </c>
      <c r="Y26" s="91">
        <f t="shared" si="12"/>
        <v>0.6950000000000001</v>
      </c>
      <c r="Z26" s="92" t="str">
        <f t="shared" si="2"/>
        <v>открыт</v>
      </c>
    </row>
    <row r="27" spans="1:26" s="88" customFormat="1" ht="11.25">
      <c r="A27" s="74">
        <v>16</v>
      </c>
      <c r="B27" s="73" t="s">
        <v>60</v>
      </c>
      <c r="C27" s="55">
        <v>2.5</v>
      </c>
      <c r="D27" s="45">
        <v>0.18</v>
      </c>
      <c r="E27" s="55">
        <v>1.07</v>
      </c>
      <c r="F27" s="55">
        <v>60</v>
      </c>
      <c r="G27" s="55">
        <f t="shared" si="3"/>
        <v>1.07</v>
      </c>
      <c r="H27" s="55">
        <v>0</v>
      </c>
      <c r="I27" s="55">
        <f t="shared" si="4"/>
        <v>1.07</v>
      </c>
      <c r="J27" s="55">
        <f t="shared" si="5"/>
        <v>0.8900000000000001</v>
      </c>
      <c r="K27" s="55">
        <f t="shared" si="14"/>
        <v>0.8900000000000001</v>
      </c>
      <c r="L27" s="92" t="str">
        <f t="shared" si="1"/>
        <v>открыт</v>
      </c>
      <c r="M27" s="94"/>
      <c r="N27" s="74">
        <v>16</v>
      </c>
      <c r="O27" s="73" t="s">
        <v>60</v>
      </c>
      <c r="P27" s="55">
        <v>2.5</v>
      </c>
      <c r="Q27" s="71">
        <v>0.065</v>
      </c>
      <c r="R27" s="71">
        <f t="shared" si="6"/>
        <v>0.245</v>
      </c>
      <c r="S27" s="69">
        <f t="shared" si="7"/>
        <v>1.07</v>
      </c>
      <c r="T27" s="70">
        <f t="shared" si="13"/>
        <v>60</v>
      </c>
      <c r="U27" s="55">
        <f t="shared" si="9"/>
        <v>1.07</v>
      </c>
      <c r="V27" s="55">
        <v>0</v>
      </c>
      <c r="W27" s="55">
        <f t="shared" si="10"/>
        <v>1.07</v>
      </c>
      <c r="X27" s="55">
        <f t="shared" si="11"/>
        <v>0.8250000000000001</v>
      </c>
      <c r="Y27" s="91">
        <f t="shared" si="12"/>
        <v>0.8250000000000001</v>
      </c>
      <c r="Z27" s="92" t="str">
        <f t="shared" si="2"/>
        <v>открыт</v>
      </c>
    </row>
    <row r="28" spans="1:26" s="88" customFormat="1" ht="11.25">
      <c r="A28" s="150">
        <v>17</v>
      </c>
      <c r="B28" s="73" t="s">
        <v>61</v>
      </c>
      <c r="C28" s="55">
        <v>10</v>
      </c>
      <c r="D28" s="45">
        <v>3.77</v>
      </c>
      <c r="E28" s="55">
        <f>E29+E30</f>
        <v>5.4</v>
      </c>
      <c r="F28" s="55">
        <v>120</v>
      </c>
      <c r="G28" s="55">
        <f t="shared" si="3"/>
        <v>5.4</v>
      </c>
      <c r="H28" s="55">
        <v>0</v>
      </c>
      <c r="I28" s="55">
        <f t="shared" si="4"/>
        <v>5.4</v>
      </c>
      <c r="J28" s="55">
        <f t="shared" si="5"/>
        <v>1.6300000000000003</v>
      </c>
      <c r="K28" s="135">
        <f>MIN(J28:J30)</f>
        <v>1.5600000000000005</v>
      </c>
      <c r="L28" s="136" t="str">
        <f t="shared" si="1"/>
        <v>открыт</v>
      </c>
      <c r="M28" s="94"/>
      <c r="N28" s="150">
        <v>17</v>
      </c>
      <c r="O28" s="73" t="s">
        <v>61</v>
      </c>
      <c r="P28" s="55">
        <v>10</v>
      </c>
      <c r="Q28" s="71">
        <v>0.2</v>
      </c>
      <c r="R28" s="71">
        <f>R29+R30</f>
        <v>4.04</v>
      </c>
      <c r="S28" s="69">
        <f t="shared" si="7"/>
        <v>5.4</v>
      </c>
      <c r="T28" s="70">
        <f t="shared" si="13"/>
        <v>120</v>
      </c>
      <c r="U28" s="55">
        <f t="shared" si="9"/>
        <v>5.4</v>
      </c>
      <c r="V28" s="55">
        <v>0</v>
      </c>
      <c r="W28" s="55">
        <f t="shared" si="10"/>
        <v>5.4</v>
      </c>
      <c r="X28" s="55">
        <f t="shared" si="11"/>
        <v>1.3600000000000003</v>
      </c>
      <c r="Y28" s="140">
        <f t="shared" si="12"/>
        <v>1.3600000000000003</v>
      </c>
      <c r="Z28" s="152" t="str">
        <f>IF(Y28&lt;0,"закрыт","открыт")</f>
        <v>открыт</v>
      </c>
    </row>
    <row r="29" spans="1:26" s="88" customFormat="1" ht="11.25">
      <c r="A29" s="150"/>
      <c r="B29" s="73" t="s">
        <v>206</v>
      </c>
      <c r="C29" s="55">
        <v>10</v>
      </c>
      <c r="D29" s="45">
        <v>0</v>
      </c>
      <c r="E29" s="55">
        <v>0</v>
      </c>
      <c r="F29" s="55"/>
      <c r="G29" s="55" t="s">
        <v>213</v>
      </c>
      <c r="H29" s="55" t="s">
        <v>213</v>
      </c>
      <c r="I29" s="55" t="s">
        <v>213</v>
      </c>
      <c r="J29" s="55" t="s">
        <v>213</v>
      </c>
      <c r="K29" s="135"/>
      <c r="L29" s="136"/>
      <c r="M29" s="94"/>
      <c r="N29" s="150"/>
      <c r="O29" s="73" t="s">
        <v>206</v>
      </c>
      <c r="P29" s="55">
        <v>10</v>
      </c>
      <c r="Q29" s="71">
        <v>0</v>
      </c>
      <c r="R29" s="71">
        <f t="shared" si="6"/>
        <v>0</v>
      </c>
      <c r="S29" s="69">
        <f t="shared" si="7"/>
        <v>0</v>
      </c>
      <c r="T29" s="70"/>
      <c r="U29" s="55">
        <f t="shared" si="9"/>
        <v>0</v>
      </c>
      <c r="V29" s="55">
        <v>0</v>
      </c>
      <c r="W29" s="55">
        <f t="shared" si="10"/>
        <v>0</v>
      </c>
      <c r="X29" s="55">
        <f t="shared" si="11"/>
        <v>0</v>
      </c>
      <c r="Y29" s="125"/>
      <c r="Z29" s="138"/>
    </row>
    <row r="30" spans="1:26" s="17" customFormat="1" ht="11.25">
      <c r="A30" s="150"/>
      <c r="B30" s="61" t="s">
        <v>207</v>
      </c>
      <c r="C30" s="45">
        <v>10</v>
      </c>
      <c r="D30" s="45">
        <v>3.84</v>
      </c>
      <c r="E30" s="45">
        <v>5.4</v>
      </c>
      <c r="F30" s="45">
        <v>120</v>
      </c>
      <c r="G30" s="45">
        <f t="shared" si="3"/>
        <v>5.4</v>
      </c>
      <c r="H30" s="45">
        <v>0</v>
      </c>
      <c r="I30" s="45">
        <f t="shared" si="4"/>
        <v>5.4</v>
      </c>
      <c r="J30" s="45">
        <f t="shared" si="5"/>
        <v>1.5600000000000005</v>
      </c>
      <c r="K30" s="135"/>
      <c r="L30" s="136"/>
      <c r="M30" s="94"/>
      <c r="N30" s="150"/>
      <c r="O30" s="61" t="s">
        <v>207</v>
      </c>
      <c r="P30" s="45">
        <v>10</v>
      </c>
      <c r="Q30" s="18">
        <v>0.2</v>
      </c>
      <c r="R30" s="18">
        <f t="shared" si="6"/>
        <v>4.04</v>
      </c>
      <c r="S30" s="19">
        <f t="shared" si="7"/>
        <v>5.4</v>
      </c>
      <c r="T30" s="67">
        <f t="shared" si="13"/>
        <v>120</v>
      </c>
      <c r="U30" s="45">
        <f t="shared" si="9"/>
        <v>5.4</v>
      </c>
      <c r="V30" s="45">
        <v>0</v>
      </c>
      <c r="W30" s="45">
        <f t="shared" si="10"/>
        <v>5.4</v>
      </c>
      <c r="X30" s="45">
        <f t="shared" si="11"/>
        <v>1.3600000000000003</v>
      </c>
      <c r="Y30" s="126"/>
      <c r="Z30" s="139"/>
    </row>
    <row r="31" spans="1:26" s="17" customFormat="1" ht="11.25">
      <c r="A31" s="24">
        <v>18</v>
      </c>
      <c r="B31" s="63" t="s">
        <v>62</v>
      </c>
      <c r="C31" s="23">
        <v>6.3</v>
      </c>
      <c r="D31" s="23">
        <v>2.57</v>
      </c>
      <c r="E31" s="64">
        <v>1.875</v>
      </c>
      <c r="F31" s="23">
        <v>60</v>
      </c>
      <c r="G31" s="23">
        <f t="shared" si="3"/>
        <v>1.875</v>
      </c>
      <c r="H31" s="23">
        <v>0</v>
      </c>
      <c r="I31" s="23">
        <f t="shared" si="4"/>
        <v>1.875</v>
      </c>
      <c r="J31" s="64">
        <f t="shared" si="5"/>
        <v>-0.6949999999999998</v>
      </c>
      <c r="K31" s="64">
        <f t="shared" si="14"/>
        <v>-0.6949999999999998</v>
      </c>
      <c r="L31" s="65" t="str">
        <f t="shared" si="1"/>
        <v>закрыт</v>
      </c>
      <c r="M31" s="94"/>
      <c r="N31" s="24">
        <v>18</v>
      </c>
      <c r="O31" s="63" t="s">
        <v>62</v>
      </c>
      <c r="P31" s="23">
        <v>6.3</v>
      </c>
      <c r="Q31" s="29">
        <v>2.353</v>
      </c>
      <c r="R31" s="29">
        <f t="shared" si="6"/>
        <v>4.923</v>
      </c>
      <c r="S31" s="64">
        <v>1.875</v>
      </c>
      <c r="T31" s="23">
        <v>60</v>
      </c>
      <c r="U31" s="23">
        <f t="shared" si="9"/>
        <v>1.875</v>
      </c>
      <c r="V31" s="23">
        <v>0</v>
      </c>
      <c r="W31" s="23">
        <f t="shared" si="10"/>
        <v>1.875</v>
      </c>
      <c r="X31" s="23">
        <f t="shared" si="11"/>
        <v>-3.048</v>
      </c>
      <c r="Y31" s="72">
        <f t="shared" si="12"/>
        <v>-3.048</v>
      </c>
      <c r="Z31" s="65" t="str">
        <f t="shared" si="2"/>
        <v>закрыт</v>
      </c>
    </row>
    <row r="32" spans="1:26" s="17" customFormat="1" ht="11.25">
      <c r="A32" s="24">
        <v>19</v>
      </c>
      <c r="B32" s="63" t="s">
        <v>63</v>
      </c>
      <c r="C32" s="23">
        <v>3.2</v>
      </c>
      <c r="D32" s="23">
        <v>1.65</v>
      </c>
      <c r="E32" s="23">
        <v>1.46</v>
      </c>
      <c r="F32" s="23">
        <v>120</v>
      </c>
      <c r="G32" s="23">
        <f t="shared" si="3"/>
        <v>1.46</v>
      </c>
      <c r="H32" s="23">
        <v>0</v>
      </c>
      <c r="I32" s="23">
        <f t="shared" si="4"/>
        <v>1.46</v>
      </c>
      <c r="J32" s="23">
        <f t="shared" si="5"/>
        <v>-0.18999999999999995</v>
      </c>
      <c r="K32" s="23">
        <f t="shared" si="14"/>
        <v>-0.18999999999999995</v>
      </c>
      <c r="L32" s="65" t="str">
        <f t="shared" si="1"/>
        <v>закрыт</v>
      </c>
      <c r="M32" s="94"/>
      <c r="N32" s="24">
        <v>19</v>
      </c>
      <c r="O32" s="63" t="s">
        <v>63</v>
      </c>
      <c r="P32" s="23">
        <v>3.2</v>
      </c>
      <c r="Q32" s="29">
        <v>0.231</v>
      </c>
      <c r="R32" s="29">
        <f t="shared" si="6"/>
        <v>1.881</v>
      </c>
      <c r="S32" s="23">
        <v>1.46</v>
      </c>
      <c r="T32" s="23">
        <v>120</v>
      </c>
      <c r="U32" s="23">
        <f t="shared" si="9"/>
        <v>1.46</v>
      </c>
      <c r="V32" s="23">
        <v>0</v>
      </c>
      <c r="W32" s="23">
        <f t="shared" si="10"/>
        <v>1.46</v>
      </c>
      <c r="X32" s="23">
        <f t="shared" si="11"/>
        <v>-0.42100000000000004</v>
      </c>
      <c r="Y32" s="72">
        <f t="shared" si="12"/>
        <v>-0.42100000000000004</v>
      </c>
      <c r="Z32" s="65" t="str">
        <f t="shared" si="2"/>
        <v>закрыт</v>
      </c>
    </row>
    <row r="33" spans="1:26" s="17" customFormat="1" ht="11.25">
      <c r="A33" s="41">
        <v>20</v>
      </c>
      <c r="B33" s="61" t="s">
        <v>64</v>
      </c>
      <c r="C33" s="45">
        <v>2.5</v>
      </c>
      <c r="D33" s="45">
        <v>0.44</v>
      </c>
      <c r="E33" s="45">
        <v>1</v>
      </c>
      <c r="F33" s="45">
        <v>120</v>
      </c>
      <c r="G33" s="45">
        <f t="shared" si="3"/>
        <v>1</v>
      </c>
      <c r="H33" s="45">
        <v>0</v>
      </c>
      <c r="I33" s="45">
        <f t="shared" si="4"/>
        <v>1</v>
      </c>
      <c r="J33" s="45">
        <f t="shared" si="5"/>
        <v>0.56</v>
      </c>
      <c r="K33" s="45">
        <f t="shared" si="14"/>
        <v>0.56</v>
      </c>
      <c r="L33" s="16" t="str">
        <f t="shared" si="1"/>
        <v>открыт</v>
      </c>
      <c r="M33" s="94"/>
      <c r="N33" s="41">
        <v>20</v>
      </c>
      <c r="O33" s="61" t="s">
        <v>64</v>
      </c>
      <c r="P33" s="45">
        <v>2.5</v>
      </c>
      <c r="Q33" s="18">
        <v>0.262</v>
      </c>
      <c r="R33" s="18">
        <f t="shared" si="6"/>
        <v>0.702</v>
      </c>
      <c r="S33" s="19">
        <f t="shared" si="7"/>
        <v>1</v>
      </c>
      <c r="T33" s="67">
        <f t="shared" si="13"/>
        <v>120</v>
      </c>
      <c r="U33" s="45">
        <f t="shared" si="9"/>
        <v>1</v>
      </c>
      <c r="V33" s="45">
        <v>0</v>
      </c>
      <c r="W33" s="45">
        <f t="shared" si="10"/>
        <v>1</v>
      </c>
      <c r="X33" s="45">
        <f t="shared" si="11"/>
        <v>0.29800000000000004</v>
      </c>
      <c r="Y33" s="13">
        <f t="shared" si="12"/>
        <v>0.29800000000000004</v>
      </c>
      <c r="Z33" s="16" t="str">
        <f t="shared" si="2"/>
        <v>открыт</v>
      </c>
    </row>
    <row r="34" spans="1:26" s="17" customFormat="1" ht="11.25">
      <c r="A34" s="41">
        <v>21</v>
      </c>
      <c r="B34" s="61" t="s">
        <v>65</v>
      </c>
      <c r="C34" s="45">
        <v>1.6</v>
      </c>
      <c r="D34" s="45">
        <v>0.37</v>
      </c>
      <c r="E34" s="45">
        <v>0.8</v>
      </c>
      <c r="F34" s="45">
        <v>120</v>
      </c>
      <c r="G34" s="45">
        <f t="shared" si="3"/>
        <v>0.8</v>
      </c>
      <c r="H34" s="45">
        <v>0</v>
      </c>
      <c r="I34" s="45">
        <f t="shared" si="4"/>
        <v>0.8</v>
      </c>
      <c r="J34" s="45">
        <f t="shared" si="5"/>
        <v>0.43000000000000005</v>
      </c>
      <c r="K34" s="45">
        <f t="shared" si="14"/>
        <v>0.43000000000000005</v>
      </c>
      <c r="L34" s="16" t="str">
        <f t="shared" si="1"/>
        <v>открыт</v>
      </c>
      <c r="M34" s="94"/>
      <c r="N34" s="41">
        <v>21</v>
      </c>
      <c r="O34" s="61" t="s">
        <v>65</v>
      </c>
      <c r="P34" s="45">
        <v>1.6</v>
      </c>
      <c r="Q34" s="18">
        <v>0.018</v>
      </c>
      <c r="R34" s="18">
        <f t="shared" si="6"/>
        <v>0.388</v>
      </c>
      <c r="S34" s="19">
        <f t="shared" si="7"/>
        <v>0.8</v>
      </c>
      <c r="T34" s="67">
        <f t="shared" si="13"/>
        <v>120</v>
      </c>
      <c r="U34" s="45">
        <f t="shared" si="9"/>
        <v>0.8</v>
      </c>
      <c r="V34" s="55">
        <v>0</v>
      </c>
      <c r="W34" s="45">
        <f t="shared" si="10"/>
        <v>0.8</v>
      </c>
      <c r="X34" s="45">
        <f t="shared" si="11"/>
        <v>0.41200000000000003</v>
      </c>
      <c r="Y34" s="13">
        <f t="shared" si="12"/>
        <v>0.41200000000000003</v>
      </c>
      <c r="Z34" s="16" t="str">
        <f t="shared" si="2"/>
        <v>открыт</v>
      </c>
    </row>
    <row r="35" spans="1:26" s="17" customFormat="1" ht="11.25">
      <c r="A35" s="41">
        <v>22</v>
      </c>
      <c r="B35" s="61" t="s">
        <v>66</v>
      </c>
      <c r="C35" s="45">
        <v>1.6</v>
      </c>
      <c r="D35" s="45">
        <v>0.28</v>
      </c>
      <c r="E35" s="45">
        <v>1.24</v>
      </c>
      <c r="F35" s="45">
        <v>120</v>
      </c>
      <c r="G35" s="45">
        <f t="shared" si="3"/>
        <v>1.24</v>
      </c>
      <c r="H35" s="45">
        <v>0</v>
      </c>
      <c r="I35" s="45">
        <f t="shared" si="4"/>
        <v>1.24</v>
      </c>
      <c r="J35" s="45">
        <f t="shared" si="5"/>
        <v>0.96</v>
      </c>
      <c r="K35" s="45">
        <f t="shared" si="14"/>
        <v>0.96</v>
      </c>
      <c r="L35" s="16" t="str">
        <f t="shared" si="1"/>
        <v>открыт</v>
      </c>
      <c r="M35" s="94"/>
      <c r="N35" s="41">
        <v>22</v>
      </c>
      <c r="O35" s="61" t="s">
        <v>66</v>
      </c>
      <c r="P35" s="45">
        <v>1.6</v>
      </c>
      <c r="Q35" s="18">
        <v>0.033</v>
      </c>
      <c r="R35" s="18">
        <f t="shared" si="6"/>
        <v>0.31300000000000006</v>
      </c>
      <c r="S35" s="19">
        <f t="shared" si="7"/>
        <v>1.24</v>
      </c>
      <c r="T35" s="67">
        <f t="shared" si="13"/>
        <v>120</v>
      </c>
      <c r="U35" s="45">
        <f t="shared" si="9"/>
        <v>1.24</v>
      </c>
      <c r="V35" s="55">
        <v>0</v>
      </c>
      <c r="W35" s="45">
        <f t="shared" si="10"/>
        <v>1.24</v>
      </c>
      <c r="X35" s="45">
        <f t="shared" si="11"/>
        <v>0.9269999999999999</v>
      </c>
      <c r="Y35" s="13">
        <f t="shared" si="12"/>
        <v>0.9269999999999999</v>
      </c>
      <c r="Z35" s="16" t="str">
        <f t="shared" si="2"/>
        <v>открыт</v>
      </c>
    </row>
    <row r="36" spans="1:26" s="17" customFormat="1" ht="11.25">
      <c r="A36" s="41">
        <v>23</v>
      </c>
      <c r="B36" s="61" t="s">
        <v>67</v>
      </c>
      <c r="C36" s="45">
        <v>2.5</v>
      </c>
      <c r="D36" s="45">
        <v>0.43</v>
      </c>
      <c r="E36" s="45">
        <v>1.46</v>
      </c>
      <c r="F36" s="45">
        <v>120</v>
      </c>
      <c r="G36" s="45">
        <f t="shared" si="3"/>
        <v>1.46</v>
      </c>
      <c r="H36" s="45">
        <v>0</v>
      </c>
      <c r="I36" s="45">
        <f t="shared" si="4"/>
        <v>1.46</v>
      </c>
      <c r="J36" s="45">
        <f t="shared" si="5"/>
        <v>1.03</v>
      </c>
      <c r="K36" s="45">
        <f t="shared" si="14"/>
        <v>1.03</v>
      </c>
      <c r="L36" s="16" t="str">
        <f t="shared" si="1"/>
        <v>открыт</v>
      </c>
      <c r="M36" s="94"/>
      <c r="N36" s="41">
        <v>23</v>
      </c>
      <c r="O36" s="61" t="s">
        <v>67</v>
      </c>
      <c r="P36" s="45">
        <v>2.5</v>
      </c>
      <c r="Q36" s="18">
        <v>0.014</v>
      </c>
      <c r="R36" s="18">
        <f t="shared" si="6"/>
        <v>0.444</v>
      </c>
      <c r="S36" s="19">
        <f t="shared" si="7"/>
        <v>1.46</v>
      </c>
      <c r="T36" s="67">
        <f t="shared" si="13"/>
        <v>120</v>
      </c>
      <c r="U36" s="45">
        <f t="shared" si="9"/>
        <v>1.46</v>
      </c>
      <c r="V36" s="45">
        <v>0</v>
      </c>
      <c r="W36" s="45">
        <f t="shared" si="10"/>
        <v>1.46</v>
      </c>
      <c r="X36" s="45">
        <f t="shared" si="11"/>
        <v>1.016</v>
      </c>
      <c r="Y36" s="13">
        <f t="shared" si="12"/>
        <v>1.016</v>
      </c>
      <c r="Z36" s="16" t="str">
        <f t="shared" si="2"/>
        <v>открыт</v>
      </c>
    </row>
    <row r="37" spans="1:26" s="17" customFormat="1" ht="11.25">
      <c r="A37" s="41">
        <v>24</v>
      </c>
      <c r="B37" s="61" t="s">
        <v>68</v>
      </c>
      <c r="C37" s="45">
        <v>2.5</v>
      </c>
      <c r="D37" s="45">
        <v>0.82</v>
      </c>
      <c r="E37" s="45">
        <v>1.24</v>
      </c>
      <c r="F37" s="45">
        <v>120</v>
      </c>
      <c r="G37" s="45">
        <f t="shared" si="3"/>
        <v>1.24</v>
      </c>
      <c r="H37" s="45">
        <v>0</v>
      </c>
      <c r="I37" s="45">
        <f t="shared" si="4"/>
        <v>1.24</v>
      </c>
      <c r="J37" s="45">
        <f t="shared" si="5"/>
        <v>0.42000000000000004</v>
      </c>
      <c r="K37" s="45">
        <f t="shared" si="14"/>
        <v>0.42000000000000004</v>
      </c>
      <c r="L37" s="12" t="str">
        <f t="shared" si="1"/>
        <v>открыт</v>
      </c>
      <c r="M37" s="94"/>
      <c r="N37" s="41">
        <v>24</v>
      </c>
      <c r="O37" s="61" t="s">
        <v>68</v>
      </c>
      <c r="P37" s="45">
        <v>2.5</v>
      </c>
      <c r="Q37" s="18">
        <v>0.14</v>
      </c>
      <c r="R37" s="18">
        <f t="shared" si="6"/>
        <v>0.96</v>
      </c>
      <c r="S37" s="19">
        <f t="shared" si="7"/>
        <v>1.24</v>
      </c>
      <c r="T37" s="67">
        <f t="shared" si="13"/>
        <v>120</v>
      </c>
      <c r="U37" s="45">
        <f t="shared" si="9"/>
        <v>1.24</v>
      </c>
      <c r="V37" s="45">
        <v>0</v>
      </c>
      <c r="W37" s="45">
        <f t="shared" si="10"/>
        <v>1.24</v>
      </c>
      <c r="X37" s="45">
        <f t="shared" si="11"/>
        <v>0.28</v>
      </c>
      <c r="Y37" s="13">
        <f t="shared" si="12"/>
        <v>0.28</v>
      </c>
      <c r="Z37" s="16" t="str">
        <f t="shared" si="2"/>
        <v>открыт</v>
      </c>
    </row>
    <row r="38" spans="1:26" s="17" customFormat="1" ht="22.5">
      <c r="A38" s="41">
        <v>25</v>
      </c>
      <c r="B38" s="61" t="s">
        <v>69</v>
      </c>
      <c r="C38" s="45">
        <v>4</v>
      </c>
      <c r="D38" s="45">
        <v>0</v>
      </c>
      <c r="E38" s="45">
        <v>0</v>
      </c>
      <c r="F38" s="45"/>
      <c r="G38" s="45">
        <f t="shared" si="3"/>
        <v>0</v>
      </c>
      <c r="H38" s="45">
        <v>0</v>
      </c>
      <c r="I38" s="45">
        <f t="shared" si="4"/>
        <v>0</v>
      </c>
      <c r="J38" s="45">
        <f t="shared" si="5"/>
        <v>0</v>
      </c>
      <c r="K38" s="45">
        <f t="shared" si="14"/>
        <v>0</v>
      </c>
      <c r="L38" s="12" t="str">
        <f t="shared" si="1"/>
        <v>открыт</v>
      </c>
      <c r="M38" s="94"/>
      <c r="N38" s="41">
        <v>25</v>
      </c>
      <c r="O38" s="61" t="s">
        <v>69</v>
      </c>
      <c r="P38" s="45">
        <v>4</v>
      </c>
      <c r="Q38" s="18">
        <v>0</v>
      </c>
      <c r="R38" s="18">
        <f t="shared" si="6"/>
        <v>0</v>
      </c>
      <c r="S38" s="19">
        <f t="shared" si="7"/>
        <v>0</v>
      </c>
      <c r="T38" s="67"/>
      <c r="U38" s="45">
        <f t="shared" si="9"/>
        <v>0</v>
      </c>
      <c r="V38" s="45">
        <v>0</v>
      </c>
      <c r="W38" s="45">
        <f t="shared" si="10"/>
        <v>0</v>
      </c>
      <c r="X38" s="45">
        <f t="shared" si="11"/>
        <v>0</v>
      </c>
      <c r="Y38" s="13">
        <f t="shared" si="12"/>
        <v>0</v>
      </c>
      <c r="Z38" s="16" t="str">
        <f t="shared" si="2"/>
        <v>открыт</v>
      </c>
    </row>
    <row r="39" spans="1:26" s="17" customFormat="1" ht="11.25">
      <c r="A39" s="41">
        <v>26</v>
      </c>
      <c r="B39" s="61" t="s">
        <v>70</v>
      </c>
      <c r="C39" s="45">
        <v>1.6</v>
      </c>
      <c r="D39" s="45">
        <v>0.3</v>
      </c>
      <c r="E39" s="45">
        <v>0.68</v>
      </c>
      <c r="F39" s="45">
        <v>120</v>
      </c>
      <c r="G39" s="45">
        <f t="shared" si="3"/>
        <v>0.68</v>
      </c>
      <c r="H39" s="45">
        <v>0</v>
      </c>
      <c r="I39" s="45">
        <f t="shared" si="4"/>
        <v>0.68</v>
      </c>
      <c r="J39" s="45">
        <f t="shared" si="5"/>
        <v>0.38000000000000006</v>
      </c>
      <c r="K39" s="45">
        <f t="shared" si="14"/>
        <v>0.38000000000000006</v>
      </c>
      <c r="L39" s="12" t="str">
        <f t="shared" si="1"/>
        <v>открыт</v>
      </c>
      <c r="M39" s="94"/>
      <c r="N39" s="41">
        <v>26</v>
      </c>
      <c r="O39" s="61" t="s">
        <v>70</v>
      </c>
      <c r="P39" s="45">
        <v>1.6</v>
      </c>
      <c r="Q39" s="18">
        <v>0.052</v>
      </c>
      <c r="R39" s="18">
        <f t="shared" si="6"/>
        <v>0.352</v>
      </c>
      <c r="S39" s="19">
        <f t="shared" si="7"/>
        <v>0.68</v>
      </c>
      <c r="T39" s="67">
        <f t="shared" si="13"/>
        <v>120</v>
      </c>
      <c r="U39" s="45">
        <f t="shared" si="9"/>
        <v>0.68</v>
      </c>
      <c r="V39" s="45">
        <v>0</v>
      </c>
      <c r="W39" s="45">
        <f t="shared" si="10"/>
        <v>0.68</v>
      </c>
      <c r="X39" s="45">
        <f t="shared" si="11"/>
        <v>0.32800000000000007</v>
      </c>
      <c r="Y39" s="13">
        <f t="shared" si="12"/>
        <v>0.32800000000000007</v>
      </c>
      <c r="Z39" s="16" t="str">
        <f t="shared" si="2"/>
        <v>открыт</v>
      </c>
    </row>
    <row r="40" spans="1:26" s="17" customFormat="1" ht="11.25">
      <c r="A40" s="41">
        <v>27</v>
      </c>
      <c r="B40" s="61" t="s">
        <v>71</v>
      </c>
      <c r="C40" s="45">
        <v>2.5</v>
      </c>
      <c r="D40" s="45">
        <v>0.28</v>
      </c>
      <c r="E40" s="45">
        <v>0.44</v>
      </c>
      <c r="F40" s="45">
        <v>120</v>
      </c>
      <c r="G40" s="45">
        <f t="shared" si="3"/>
        <v>0.44</v>
      </c>
      <c r="H40" s="45">
        <v>0</v>
      </c>
      <c r="I40" s="45">
        <f t="shared" si="4"/>
        <v>0.44</v>
      </c>
      <c r="J40" s="45">
        <f t="shared" si="5"/>
        <v>0.15999999999999998</v>
      </c>
      <c r="K40" s="45">
        <f t="shared" si="14"/>
        <v>0.15999999999999998</v>
      </c>
      <c r="L40" s="12" t="str">
        <f t="shared" si="1"/>
        <v>открыт</v>
      </c>
      <c r="M40" s="94"/>
      <c r="N40" s="41">
        <v>27</v>
      </c>
      <c r="O40" s="61" t="s">
        <v>71</v>
      </c>
      <c r="P40" s="45">
        <v>2.5</v>
      </c>
      <c r="Q40" s="18">
        <v>0</v>
      </c>
      <c r="R40" s="18">
        <f t="shared" si="6"/>
        <v>0.28</v>
      </c>
      <c r="S40" s="19">
        <f t="shared" si="7"/>
        <v>0.44</v>
      </c>
      <c r="T40" s="67">
        <f t="shared" si="13"/>
        <v>120</v>
      </c>
      <c r="U40" s="45">
        <f t="shared" si="9"/>
        <v>0.44</v>
      </c>
      <c r="V40" s="45">
        <v>0</v>
      </c>
      <c r="W40" s="45">
        <f t="shared" si="10"/>
        <v>0.44</v>
      </c>
      <c r="X40" s="45">
        <f t="shared" si="11"/>
        <v>0.15999999999999998</v>
      </c>
      <c r="Y40" s="13">
        <f t="shared" si="12"/>
        <v>0.15999999999999998</v>
      </c>
      <c r="Z40" s="16" t="str">
        <f t="shared" si="2"/>
        <v>открыт</v>
      </c>
    </row>
    <row r="41" spans="1:26" s="17" customFormat="1" ht="22.5">
      <c r="A41" s="150">
        <v>28</v>
      </c>
      <c r="B41" s="61" t="s">
        <v>72</v>
      </c>
      <c r="C41" s="45">
        <v>10</v>
      </c>
      <c r="D41" s="45">
        <v>1.57</v>
      </c>
      <c r="E41" s="45">
        <f>E42+E43</f>
        <v>2.13</v>
      </c>
      <c r="F41" s="45">
        <v>120</v>
      </c>
      <c r="G41" s="45">
        <f t="shared" si="3"/>
        <v>2.13</v>
      </c>
      <c r="H41" s="45">
        <v>0</v>
      </c>
      <c r="I41" s="45">
        <f t="shared" si="4"/>
        <v>2.13</v>
      </c>
      <c r="J41" s="45">
        <f t="shared" si="5"/>
        <v>0.5599999999999998</v>
      </c>
      <c r="K41" s="135">
        <f>MIN(J41:J43)</f>
        <v>0.31999999999999984</v>
      </c>
      <c r="L41" s="136" t="str">
        <f t="shared" si="1"/>
        <v>открыт</v>
      </c>
      <c r="M41" s="94"/>
      <c r="N41" s="150">
        <v>28</v>
      </c>
      <c r="O41" s="61" t="s">
        <v>72</v>
      </c>
      <c r="P41" s="45">
        <v>10</v>
      </c>
      <c r="Q41" s="18">
        <v>0.012</v>
      </c>
      <c r="R41" s="18">
        <f>R42+R43</f>
        <v>1.829</v>
      </c>
      <c r="S41" s="19">
        <f t="shared" si="7"/>
        <v>2.13</v>
      </c>
      <c r="T41" s="67">
        <f t="shared" si="13"/>
        <v>120</v>
      </c>
      <c r="U41" s="45">
        <f t="shared" si="9"/>
        <v>2.13</v>
      </c>
      <c r="V41" s="45">
        <v>0</v>
      </c>
      <c r="W41" s="45">
        <f t="shared" si="10"/>
        <v>2.13</v>
      </c>
      <c r="X41" s="45">
        <f t="shared" si="11"/>
        <v>0.30099999999999993</v>
      </c>
      <c r="Y41" s="140">
        <f t="shared" si="12"/>
        <v>0.30099999999999993</v>
      </c>
      <c r="Z41" s="152" t="str">
        <f>IF(Y41&lt;0,"закрыт","открыт")</f>
        <v>открыт</v>
      </c>
    </row>
    <row r="42" spans="1:26" s="88" customFormat="1" ht="11.25">
      <c r="A42" s="150"/>
      <c r="B42" s="73" t="s">
        <v>206</v>
      </c>
      <c r="C42" s="55">
        <v>10</v>
      </c>
      <c r="D42" s="45">
        <v>0</v>
      </c>
      <c r="E42" s="55">
        <v>0</v>
      </c>
      <c r="F42" s="55">
        <v>0</v>
      </c>
      <c r="G42" s="55" t="s">
        <v>213</v>
      </c>
      <c r="H42" s="55" t="s">
        <v>213</v>
      </c>
      <c r="I42" s="55" t="s">
        <v>213</v>
      </c>
      <c r="J42" s="55" t="s">
        <v>213</v>
      </c>
      <c r="K42" s="135"/>
      <c r="L42" s="136"/>
      <c r="M42" s="94"/>
      <c r="N42" s="150"/>
      <c r="O42" s="73" t="s">
        <v>206</v>
      </c>
      <c r="P42" s="55">
        <v>10</v>
      </c>
      <c r="Q42" s="71">
        <v>0</v>
      </c>
      <c r="R42" s="71">
        <f t="shared" si="6"/>
        <v>0</v>
      </c>
      <c r="S42" s="69">
        <f t="shared" si="7"/>
        <v>0</v>
      </c>
      <c r="T42" s="70">
        <f t="shared" si="13"/>
        <v>0</v>
      </c>
      <c r="U42" s="55">
        <f t="shared" si="9"/>
        <v>0</v>
      </c>
      <c r="V42" s="55">
        <v>0</v>
      </c>
      <c r="W42" s="55">
        <f t="shared" si="10"/>
        <v>0</v>
      </c>
      <c r="X42" s="55">
        <f t="shared" si="11"/>
        <v>0</v>
      </c>
      <c r="Y42" s="125"/>
      <c r="Z42" s="138"/>
    </row>
    <row r="43" spans="1:26" s="17" customFormat="1" ht="11.25">
      <c r="A43" s="150"/>
      <c r="B43" s="61" t="s">
        <v>207</v>
      </c>
      <c r="C43" s="45">
        <v>10</v>
      </c>
      <c r="D43" s="45">
        <v>1.81</v>
      </c>
      <c r="E43" s="45">
        <v>2.13</v>
      </c>
      <c r="F43" s="45">
        <v>120</v>
      </c>
      <c r="G43" s="45">
        <f t="shared" si="3"/>
        <v>2.13</v>
      </c>
      <c r="H43" s="45">
        <v>0</v>
      </c>
      <c r="I43" s="45">
        <f t="shared" si="4"/>
        <v>2.13</v>
      </c>
      <c r="J43" s="45">
        <f t="shared" si="5"/>
        <v>0.31999999999999984</v>
      </c>
      <c r="K43" s="135"/>
      <c r="L43" s="136"/>
      <c r="M43" s="94"/>
      <c r="N43" s="150"/>
      <c r="O43" s="61" t="s">
        <v>207</v>
      </c>
      <c r="P43" s="45">
        <v>10</v>
      </c>
      <c r="Q43" s="18">
        <v>0.019</v>
      </c>
      <c r="R43" s="18">
        <f t="shared" si="6"/>
        <v>1.829</v>
      </c>
      <c r="S43" s="19">
        <f t="shared" si="7"/>
        <v>2.13</v>
      </c>
      <c r="T43" s="67">
        <f t="shared" si="13"/>
        <v>120</v>
      </c>
      <c r="U43" s="45">
        <f t="shared" si="9"/>
        <v>2.13</v>
      </c>
      <c r="V43" s="55">
        <v>0</v>
      </c>
      <c r="W43" s="45">
        <f t="shared" si="10"/>
        <v>2.13</v>
      </c>
      <c r="X43" s="45">
        <f t="shared" si="11"/>
        <v>0.30099999999999993</v>
      </c>
      <c r="Y43" s="126"/>
      <c r="Z43" s="139"/>
    </row>
    <row r="44" spans="1:26" s="17" customFormat="1" ht="22.5">
      <c r="A44" s="137">
        <v>29</v>
      </c>
      <c r="B44" s="63" t="s">
        <v>73</v>
      </c>
      <c r="C44" s="23">
        <v>10</v>
      </c>
      <c r="D44" s="23">
        <v>1.43</v>
      </c>
      <c r="E44" s="23">
        <f>E45+E46</f>
        <v>0.6900000000000001</v>
      </c>
      <c r="F44" s="23">
        <v>120</v>
      </c>
      <c r="G44" s="23">
        <f t="shared" si="3"/>
        <v>0.6900000000000001</v>
      </c>
      <c r="H44" s="23">
        <v>0</v>
      </c>
      <c r="I44" s="23">
        <f t="shared" si="4"/>
        <v>0.6900000000000001</v>
      </c>
      <c r="J44" s="23">
        <f t="shared" si="5"/>
        <v>-0.7399999999999999</v>
      </c>
      <c r="K44" s="115">
        <f>MIN(J44:J46)</f>
        <v>-0.7399999999999999</v>
      </c>
      <c r="L44" s="116" t="str">
        <f t="shared" si="1"/>
        <v>закрыт</v>
      </c>
      <c r="M44" s="94"/>
      <c r="N44" s="137">
        <v>29</v>
      </c>
      <c r="O44" s="63" t="s">
        <v>73</v>
      </c>
      <c r="P44" s="23">
        <v>10</v>
      </c>
      <c r="Q44" s="29">
        <v>0.005</v>
      </c>
      <c r="R44" s="29">
        <f>R45+R46</f>
        <v>1.5030000000000001</v>
      </c>
      <c r="S44" s="23">
        <f>S45+S46</f>
        <v>0.6900000000000001</v>
      </c>
      <c r="T44" s="68">
        <f t="shared" si="13"/>
        <v>120</v>
      </c>
      <c r="U44" s="23">
        <f t="shared" si="9"/>
        <v>0.6900000000000001</v>
      </c>
      <c r="V44" s="23">
        <v>0</v>
      </c>
      <c r="W44" s="23">
        <f t="shared" si="10"/>
        <v>0.6900000000000001</v>
      </c>
      <c r="X44" s="23">
        <f t="shared" si="11"/>
        <v>-0.8130000000000001</v>
      </c>
      <c r="Y44" s="127">
        <f t="shared" si="12"/>
        <v>-0.8130000000000001</v>
      </c>
      <c r="Z44" s="141" t="str">
        <f>IF(Y44&lt;0,"закрыт","открыт")</f>
        <v>закрыт</v>
      </c>
    </row>
    <row r="45" spans="1:26" s="17" customFormat="1" ht="11.25">
      <c r="A45" s="137"/>
      <c r="B45" s="63" t="s">
        <v>206</v>
      </c>
      <c r="C45" s="23">
        <v>10</v>
      </c>
      <c r="D45" s="23">
        <v>0.53</v>
      </c>
      <c r="E45" s="23">
        <v>0.16</v>
      </c>
      <c r="F45" s="23">
        <v>180</v>
      </c>
      <c r="G45" s="23">
        <f t="shared" si="3"/>
        <v>0.16</v>
      </c>
      <c r="H45" s="23">
        <v>0</v>
      </c>
      <c r="I45" s="23">
        <f t="shared" si="4"/>
        <v>0.16</v>
      </c>
      <c r="J45" s="23">
        <f t="shared" si="5"/>
        <v>-0.37</v>
      </c>
      <c r="K45" s="115"/>
      <c r="L45" s="116"/>
      <c r="M45" s="94"/>
      <c r="N45" s="137"/>
      <c r="O45" s="63" t="s">
        <v>206</v>
      </c>
      <c r="P45" s="23">
        <v>10</v>
      </c>
      <c r="Q45" s="29">
        <f>Q55</f>
        <v>0.011</v>
      </c>
      <c r="R45" s="29">
        <f t="shared" si="6"/>
        <v>0.541</v>
      </c>
      <c r="S45" s="23">
        <v>0.16</v>
      </c>
      <c r="T45" s="68">
        <f t="shared" si="13"/>
        <v>180</v>
      </c>
      <c r="U45" s="23">
        <f t="shared" si="9"/>
        <v>0.16</v>
      </c>
      <c r="V45" s="23">
        <v>0</v>
      </c>
      <c r="W45" s="23">
        <f t="shared" si="10"/>
        <v>0.16</v>
      </c>
      <c r="X45" s="23">
        <f t="shared" si="11"/>
        <v>-0.381</v>
      </c>
      <c r="Y45" s="128"/>
      <c r="Z45" s="142"/>
    </row>
    <row r="46" spans="1:26" s="17" customFormat="1" ht="11.25">
      <c r="A46" s="137"/>
      <c r="B46" s="63" t="s">
        <v>207</v>
      </c>
      <c r="C46" s="23">
        <v>10</v>
      </c>
      <c r="D46" s="23">
        <v>0.91</v>
      </c>
      <c r="E46" s="23">
        <v>0.53</v>
      </c>
      <c r="F46" s="23">
        <v>120</v>
      </c>
      <c r="G46" s="23">
        <f t="shared" si="3"/>
        <v>0.53</v>
      </c>
      <c r="H46" s="23">
        <v>0</v>
      </c>
      <c r="I46" s="23">
        <f t="shared" si="4"/>
        <v>0.53</v>
      </c>
      <c r="J46" s="23">
        <f t="shared" si="5"/>
        <v>-0.38</v>
      </c>
      <c r="K46" s="115"/>
      <c r="L46" s="116"/>
      <c r="M46" s="94"/>
      <c r="N46" s="137"/>
      <c r="O46" s="63" t="s">
        <v>207</v>
      </c>
      <c r="P46" s="23">
        <v>10</v>
      </c>
      <c r="Q46" s="29">
        <v>0.052</v>
      </c>
      <c r="R46" s="29">
        <f t="shared" si="6"/>
        <v>0.9620000000000001</v>
      </c>
      <c r="S46" s="23">
        <v>0.53</v>
      </c>
      <c r="T46" s="68">
        <f t="shared" si="13"/>
        <v>120</v>
      </c>
      <c r="U46" s="23">
        <f t="shared" si="9"/>
        <v>0.53</v>
      </c>
      <c r="V46" s="23">
        <v>0</v>
      </c>
      <c r="W46" s="23">
        <f t="shared" si="10"/>
        <v>0.53</v>
      </c>
      <c r="X46" s="23">
        <f t="shared" si="11"/>
        <v>-0.43200000000000005</v>
      </c>
      <c r="Y46" s="129"/>
      <c r="Z46" s="143"/>
    </row>
    <row r="47" spans="1:26" s="88" customFormat="1" ht="22.5">
      <c r="A47" s="151">
        <v>30</v>
      </c>
      <c r="B47" s="73" t="s">
        <v>74</v>
      </c>
      <c r="C47" s="55">
        <v>10</v>
      </c>
      <c r="D47" s="55">
        <v>6.46</v>
      </c>
      <c r="E47" s="55">
        <f>E48+E49</f>
        <v>8.96</v>
      </c>
      <c r="F47" s="55">
        <v>120</v>
      </c>
      <c r="G47" s="55">
        <f t="shared" si="3"/>
        <v>8.96</v>
      </c>
      <c r="H47" s="55">
        <v>0</v>
      </c>
      <c r="I47" s="55">
        <f t="shared" si="4"/>
        <v>8.96</v>
      </c>
      <c r="J47" s="55">
        <f t="shared" si="5"/>
        <v>2.500000000000001</v>
      </c>
      <c r="K47" s="135">
        <f>MIN(J47:J49)</f>
        <v>1.2300000000000004</v>
      </c>
      <c r="L47" s="114" t="str">
        <f>IF(K47&lt;0,"закрыт","открыт")</f>
        <v>открыт</v>
      </c>
      <c r="M47" s="105"/>
      <c r="N47" s="137">
        <v>30</v>
      </c>
      <c r="O47" s="63" t="s">
        <v>74</v>
      </c>
      <c r="P47" s="23">
        <v>10</v>
      </c>
      <c r="Q47" s="29">
        <f>Q48+Q49</f>
        <v>1.498</v>
      </c>
      <c r="R47" s="29">
        <f>R48+R49</f>
        <v>7.9879999999999995</v>
      </c>
      <c r="S47" s="64">
        <f t="shared" si="7"/>
        <v>8.96</v>
      </c>
      <c r="T47" s="68">
        <f t="shared" si="13"/>
        <v>120</v>
      </c>
      <c r="U47" s="23">
        <f t="shared" si="9"/>
        <v>8.96</v>
      </c>
      <c r="V47" s="23">
        <v>0</v>
      </c>
      <c r="W47" s="23">
        <f t="shared" si="10"/>
        <v>8.96</v>
      </c>
      <c r="X47" s="23">
        <f t="shared" si="11"/>
        <v>0.9720000000000013</v>
      </c>
      <c r="Y47" s="127">
        <f>X48</f>
        <v>-0.18599999999999905</v>
      </c>
      <c r="Z47" s="141" t="str">
        <f>IF(Y47&lt;0,"закрыт","открыт")</f>
        <v>закрыт</v>
      </c>
    </row>
    <row r="48" spans="1:26" s="88" customFormat="1" ht="11.25">
      <c r="A48" s="151"/>
      <c r="B48" s="73" t="s">
        <v>206</v>
      </c>
      <c r="C48" s="55">
        <v>10</v>
      </c>
      <c r="D48" s="55">
        <v>5.39</v>
      </c>
      <c r="E48" s="55">
        <v>6.62</v>
      </c>
      <c r="F48" s="55">
        <v>120</v>
      </c>
      <c r="G48" s="55">
        <f t="shared" si="3"/>
        <v>6.62</v>
      </c>
      <c r="H48" s="55">
        <v>0</v>
      </c>
      <c r="I48" s="55">
        <f t="shared" si="4"/>
        <v>6.62</v>
      </c>
      <c r="J48" s="55">
        <f t="shared" si="5"/>
        <v>1.2300000000000004</v>
      </c>
      <c r="K48" s="135"/>
      <c r="L48" s="114"/>
      <c r="M48" s="105"/>
      <c r="N48" s="137"/>
      <c r="O48" s="63" t="s">
        <v>206</v>
      </c>
      <c r="P48" s="23">
        <v>10</v>
      </c>
      <c r="Q48" s="29">
        <f>Q52+Q200</f>
        <v>1.416</v>
      </c>
      <c r="R48" s="29">
        <f t="shared" si="6"/>
        <v>6.805999999999999</v>
      </c>
      <c r="S48" s="64">
        <f t="shared" si="7"/>
        <v>6.62</v>
      </c>
      <c r="T48" s="68">
        <f t="shared" si="13"/>
        <v>120</v>
      </c>
      <c r="U48" s="23">
        <f t="shared" si="9"/>
        <v>6.62</v>
      </c>
      <c r="V48" s="23">
        <v>0</v>
      </c>
      <c r="W48" s="23">
        <f t="shared" si="10"/>
        <v>6.62</v>
      </c>
      <c r="X48" s="23">
        <f t="shared" si="11"/>
        <v>-0.18599999999999905</v>
      </c>
      <c r="Y48" s="128"/>
      <c r="Z48" s="142"/>
    </row>
    <row r="49" spans="1:26" s="88" customFormat="1" ht="11.25">
      <c r="A49" s="151"/>
      <c r="B49" s="73" t="s">
        <v>207</v>
      </c>
      <c r="C49" s="55">
        <v>10</v>
      </c>
      <c r="D49" s="55">
        <v>1.1</v>
      </c>
      <c r="E49" s="55">
        <v>2.34</v>
      </c>
      <c r="F49" s="55">
        <v>120</v>
      </c>
      <c r="G49" s="55">
        <f t="shared" si="3"/>
        <v>2.34</v>
      </c>
      <c r="H49" s="55">
        <v>0</v>
      </c>
      <c r="I49" s="55">
        <f t="shared" si="4"/>
        <v>2.34</v>
      </c>
      <c r="J49" s="55">
        <f t="shared" si="5"/>
        <v>1.2399999999999998</v>
      </c>
      <c r="K49" s="135"/>
      <c r="L49" s="114"/>
      <c r="M49" s="105"/>
      <c r="N49" s="137"/>
      <c r="O49" s="63" t="s">
        <v>207</v>
      </c>
      <c r="P49" s="23">
        <v>10</v>
      </c>
      <c r="Q49" s="29">
        <v>0.082</v>
      </c>
      <c r="R49" s="29">
        <f t="shared" si="6"/>
        <v>1.1820000000000002</v>
      </c>
      <c r="S49" s="64">
        <f t="shared" si="7"/>
        <v>2.34</v>
      </c>
      <c r="T49" s="68">
        <f t="shared" si="13"/>
        <v>120</v>
      </c>
      <c r="U49" s="23">
        <f t="shared" si="9"/>
        <v>2.34</v>
      </c>
      <c r="V49" s="23">
        <v>0</v>
      </c>
      <c r="W49" s="23">
        <f t="shared" si="10"/>
        <v>2.34</v>
      </c>
      <c r="X49" s="23">
        <f t="shared" si="11"/>
        <v>1.1579999999999997</v>
      </c>
      <c r="Y49" s="129"/>
      <c r="Z49" s="143"/>
    </row>
    <row r="50" spans="1:26" s="17" customFormat="1" ht="11.25">
      <c r="A50" s="41">
        <v>31</v>
      </c>
      <c r="B50" s="61" t="s">
        <v>75</v>
      </c>
      <c r="C50" s="45">
        <v>1.6</v>
      </c>
      <c r="D50" s="45">
        <v>0.45</v>
      </c>
      <c r="E50" s="45">
        <v>0.54</v>
      </c>
      <c r="F50" s="45">
        <v>120</v>
      </c>
      <c r="G50" s="45">
        <f t="shared" si="3"/>
        <v>0.54</v>
      </c>
      <c r="H50" s="45">
        <v>0</v>
      </c>
      <c r="I50" s="45">
        <f t="shared" si="4"/>
        <v>0.54</v>
      </c>
      <c r="J50" s="45">
        <f t="shared" si="5"/>
        <v>0.09000000000000002</v>
      </c>
      <c r="K50" s="45">
        <f aca="true" t="shared" si="15" ref="K50:K62">J50</f>
        <v>0.09000000000000002</v>
      </c>
      <c r="L50" s="12" t="str">
        <f aca="true" t="shared" si="16" ref="L50:L63">IF(K50&lt;0,"закрыт","открыт")</f>
        <v>открыт</v>
      </c>
      <c r="M50" s="94"/>
      <c r="N50" s="41">
        <v>31</v>
      </c>
      <c r="O50" s="61" t="s">
        <v>75</v>
      </c>
      <c r="P50" s="45">
        <v>1.6</v>
      </c>
      <c r="Q50" s="18">
        <v>0</v>
      </c>
      <c r="R50" s="18">
        <f t="shared" si="6"/>
        <v>0.45</v>
      </c>
      <c r="S50" s="19">
        <f t="shared" si="7"/>
        <v>0.54</v>
      </c>
      <c r="T50" s="67">
        <f t="shared" si="13"/>
        <v>120</v>
      </c>
      <c r="U50" s="45">
        <f t="shared" si="9"/>
        <v>0.54</v>
      </c>
      <c r="V50" s="55">
        <v>0</v>
      </c>
      <c r="W50" s="45">
        <f t="shared" si="10"/>
        <v>0.54</v>
      </c>
      <c r="X50" s="45">
        <f t="shared" si="11"/>
        <v>0.09000000000000002</v>
      </c>
      <c r="Y50" s="13">
        <f t="shared" si="12"/>
        <v>0.09000000000000002</v>
      </c>
      <c r="Z50" s="16" t="str">
        <f>IF(Y50&lt;0,"закрыт","открыт")</f>
        <v>открыт</v>
      </c>
    </row>
    <row r="51" spans="1:26" s="17" customFormat="1" ht="11.25">
      <c r="A51" s="41">
        <v>32</v>
      </c>
      <c r="B51" s="61" t="s">
        <v>76</v>
      </c>
      <c r="C51" s="45">
        <v>1.8</v>
      </c>
      <c r="D51" s="45">
        <v>0.02</v>
      </c>
      <c r="E51" s="45">
        <v>0.88</v>
      </c>
      <c r="F51" s="45">
        <v>120</v>
      </c>
      <c r="G51" s="45">
        <f t="shared" si="3"/>
        <v>0.88</v>
      </c>
      <c r="H51" s="45">
        <v>0</v>
      </c>
      <c r="I51" s="45">
        <f t="shared" si="4"/>
        <v>0.88</v>
      </c>
      <c r="J51" s="45">
        <f t="shared" si="5"/>
        <v>0.86</v>
      </c>
      <c r="K51" s="45">
        <f t="shared" si="15"/>
        <v>0.86</v>
      </c>
      <c r="L51" s="12" t="str">
        <f t="shared" si="16"/>
        <v>открыт</v>
      </c>
      <c r="M51" s="94"/>
      <c r="N51" s="41">
        <v>32</v>
      </c>
      <c r="O51" s="61" t="s">
        <v>76</v>
      </c>
      <c r="P51" s="45">
        <v>1.8</v>
      </c>
      <c r="Q51" s="18">
        <v>0</v>
      </c>
      <c r="R51" s="18">
        <f t="shared" si="6"/>
        <v>0.02</v>
      </c>
      <c r="S51" s="19">
        <f t="shared" si="7"/>
        <v>0.88</v>
      </c>
      <c r="T51" s="67">
        <f t="shared" si="13"/>
        <v>120</v>
      </c>
      <c r="U51" s="45">
        <f t="shared" si="9"/>
        <v>0.88</v>
      </c>
      <c r="V51" s="55">
        <v>0</v>
      </c>
      <c r="W51" s="45">
        <f t="shared" si="10"/>
        <v>0.88</v>
      </c>
      <c r="X51" s="45">
        <f t="shared" si="11"/>
        <v>0.86</v>
      </c>
      <c r="Y51" s="13">
        <f t="shared" si="12"/>
        <v>0.86</v>
      </c>
      <c r="Z51" s="16" t="str">
        <f aca="true" t="shared" si="17" ref="Z51:Z60">IF(Y51&lt;0,"закрыт","открыт")</f>
        <v>открыт</v>
      </c>
    </row>
    <row r="52" spans="1:26" s="17" customFormat="1" ht="11.25">
      <c r="A52" s="41">
        <v>33</v>
      </c>
      <c r="B52" s="61" t="s">
        <v>77</v>
      </c>
      <c r="C52" s="45">
        <v>2.5</v>
      </c>
      <c r="D52" s="45">
        <v>0.82</v>
      </c>
      <c r="E52" s="45">
        <v>1.39</v>
      </c>
      <c r="F52" s="45">
        <v>120</v>
      </c>
      <c r="G52" s="45">
        <f t="shared" si="3"/>
        <v>1.39</v>
      </c>
      <c r="H52" s="45">
        <v>0</v>
      </c>
      <c r="I52" s="45">
        <f t="shared" si="4"/>
        <v>1.39</v>
      </c>
      <c r="J52" s="45">
        <f t="shared" si="5"/>
        <v>0.57</v>
      </c>
      <c r="K52" s="45">
        <f t="shared" si="15"/>
        <v>0.57</v>
      </c>
      <c r="L52" s="12" t="str">
        <f t="shared" si="16"/>
        <v>открыт</v>
      </c>
      <c r="M52" s="94"/>
      <c r="N52" s="41">
        <v>33</v>
      </c>
      <c r="O52" s="61" t="s">
        <v>77</v>
      </c>
      <c r="P52" s="45">
        <v>2.5</v>
      </c>
      <c r="Q52" s="18">
        <v>0.022</v>
      </c>
      <c r="R52" s="18">
        <f t="shared" si="6"/>
        <v>0.842</v>
      </c>
      <c r="S52" s="19">
        <f t="shared" si="7"/>
        <v>1.39</v>
      </c>
      <c r="T52" s="67">
        <f t="shared" si="13"/>
        <v>120</v>
      </c>
      <c r="U52" s="45">
        <f t="shared" si="9"/>
        <v>1.39</v>
      </c>
      <c r="V52" s="45">
        <v>0</v>
      </c>
      <c r="W52" s="45">
        <f t="shared" si="10"/>
        <v>1.39</v>
      </c>
      <c r="X52" s="45">
        <f t="shared" si="11"/>
        <v>0.5479999999999999</v>
      </c>
      <c r="Y52" s="13">
        <f t="shared" si="12"/>
        <v>0.5479999999999999</v>
      </c>
      <c r="Z52" s="16" t="str">
        <f t="shared" si="17"/>
        <v>открыт</v>
      </c>
    </row>
    <row r="53" spans="1:26" s="17" customFormat="1" ht="11.25">
      <c r="A53" s="74">
        <v>34</v>
      </c>
      <c r="B53" s="73" t="s">
        <v>78</v>
      </c>
      <c r="C53" s="55">
        <v>1.6</v>
      </c>
      <c r="D53" s="45">
        <v>0.47</v>
      </c>
      <c r="E53" s="55">
        <v>1.6</v>
      </c>
      <c r="F53" s="55" t="s">
        <v>212</v>
      </c>
      <c r="G53" s="55">
        <f t="shared" si="3"/>
        <v>1.6</v>
      </c>
      <c r="H53" s="55">
        <v>0</v>
      </c>
      <c r="I53" s="55">
        <f t="shared" si="4"/>
        <v>1.6</v>
      </c>
      <c r="J53" s="55">
        <f t="shared" si="5"/>
        <v>1.1300000000000001</v>
      </c>
      <c r="K53" s="55">
        <f t="shared" si="15"/>
        <v>1.1300000000000001</v>
      </c>
      <c r="L53" s="89" t="str">
        <f t="shared" si="16"/>
        <v>открыт</v>
      </c>
      <c r="M53" s="94"/>
      <c r="N53" s="74">
        <v>34</v>
      </c>
      <c r="O53" s="73" t="s">
        <v>78</v>
      </c>
      <c r="P53" s="55">
        <v>1.6</v>
      </c>
      <c r="Q53" s="18">
        <v>0.004</v>
      </c>
      <c r="R53" s="71">
        <f t="shared" si="6"/>
        <v>0.474</v>
      </c>
      <c r="S53" s="69">
        <f t="shared" si="7"/>
        <v>1.6</v>
      </c>
      <c r="T53" s="70"/>
      <c r="U53" s="55">
        <f t="shared" si="9"/>
        <v>1.6</v>
      </c>
      <c r="V53" s="55">
        <v>0</v>
      </c>
      <c r="W53" s="55">
        <f t="shared" si="10"/>
        <v>1.6</v>
      </c>
      <c r="X53" s="55">
        <f t="shared" si="11"/>
        <v>1.1260000000000001</v>
      </c>
      <c r="Y53" s="91">
        <f t="shared" si="12"/>
        <v>1.1260000000000001</v>
      </c>
      <c r="Z53" s="92" t="str">
        <f t="shared" si="17"/>
        <v>открыт</v>
      </c>
    </row>
    <row r="54" spans="1:26" s="17" customFormat="1" ht="11.25">
      <c r="A54" s="74">
        <v>35</v>
      </c>
      <c r="B54" s="73" t="s">
        <v>79</v>
      </c>
      <c r="C54" s="55">
        <v>2.5</v>
      </c>
      <c r="D54" s="45">
        <v>0.26</v>
      </c>
      <c r="E54" s="55">
        <v>0.31</v>
      </c>
      <c r="F54" s="55">
        <v>80</v>
      </c>
      <c r="G54" s="55">
        <f t="shared" si="3"/>
        <v>0.31</v>
      </c>
      <c r="H54" s="55">
        <v>0</v>
      </c>
      <c r="I54" s="55">
        <f t="shared" si="4"/>
        <v>0.31</v>
      </c>
      <c r="J54" s="55">
        <f t="shared" si="5"/>
        <v>0.04999999999999999</v>
      </c>
      <c r="K54" s="55">
        <f t="shared" si="15"/>
        <v>0.04999999999999999</v>
      </c>
      <c r="L54" s="89" t="str">
        <f t="shared" si="16"/>
        <v>открыт</v>
      </c>
      <c r="M54" s="94"/>
      <c r="N54" s="74">
        <v>35</v>
      </c>
      <c r="O54" s="73" t="s">
        <v>79</v>
      </c>
      <c r="P54" s="55">
        <v>2.5</v>
      </c>
      <c r="Q54" s="18">
        <v>0.009</v>
      </c>
      <c r="R54" s="71">
        <f t="shared" si="6"/>
        <v>0.269</v>
      </c>
      <c r="S54" s="69">
        <f t="shared" si="7"/>
        <v>0.31</v>
      </c>
      <c r="T54" s="70">
        <f t="shared" si="13"/>
        <v>80</v>
      </c>
      <c r="U54" s="55">
        <f t="shared" si="9"/>
        <v>0.31</v>
      </c>
      <c r="V54" s="55">
        <v>0</v>
      </c>
      <c r="W54" s="55">
        <f t="shared" si="10"/>
        <v>0.31</v>
      </c>
      <c r="X54" s="55">
        <f t="shared" si="11"/>
        <v>0.04099999999999998</v>
      </c>
      <c r="Y54" s="91">
        <f t="shared" si="12"/>
        <v>0.04099999999999998</v>
      </c>
      <c r="Z54" s="92" t="str">
        <f t="shared" si="17"/>
        <v>открыт</v>
      </c>
    </row>
    <row r="55" spans="1:26" s="17" customFormat="1" ht="11.25">
      <c r="A55" s="74">
        <v>36</v>
      </c>
      <c r="B55" s="73" t="s">
        <v>80</v>
      </c>
      <c r="C55" s="55">
        <v>1.8</v>
      </c>
      <c r="D55" s="45">
        <v>0.53</v>
      </c>
      <c r="E55" s="55">
        <v>1.6</v>
      </c>
      <c r="F55" s="55" t="s">
        <v>212</v>
      </c>
      <c r="G55" s="55">
        <f t="shared" si="3"/>
        <v>1.6</v>
      </c>
      <c r="H55" s="55">
        <v>0</v>
      </c>
      <c r="I55" s="55">
        <f t="shared" si="4"/>
        <v>1.6</v>
      </c>
      <c r="J55" s="55">
        <f t="shared" si="5"/>
        <v>1.07</v>
      </c>
      <c r="K55" s="55">
        <f t="shared" si="15"/>
        <v>1.07</v>
      </c>
      <c r="L55" s="89" t="str">
        <f t="shared" si="16"/>
        <v>открыт</v>
      </c>
      <c r="M55" s="94"/>
      <c r="N55" s="74">
        <v>36</v>
      </c>
      <c r="O55" s="73" t="s">
        <v>80</v>
      </c>
      <c r="P55" s="55">
        <v>1.8</v>
      </c>
      <c r="Q55" s="18">
        <v>0.011</v>
      </c>
      <c r="R55" s="71">
        <f t="shared" si="6"/>
        <v>0.541</v>
      </c>
      <c r="S55" s="69">
        <f t="shared" si="7"/>
        <v>1.6</v>
      </c>
      <c r="T55" s="70" t="str">
        <f t="shared" si="13"/>
        <v>1сутки</v>
      </c>
      <c r="U55" s="55">
        <f t="shared" si="9"/>
        <v>1.6</v>
      </c>
      <c r="V55" s="55">
        <v>0</v>
      </c>
      <c r="W55" s="55">
        <f t="shared" si="10"/>
        <v>1.6</v>
      </c>
      <c r="X55" s="55">
        <f t="shared" si="11"/>
        <v>1.0590000000000002</v>
      </c>
      <c r="Y55" s="91">
        <f t="shared" si="12"/>
        <v>1.0590000000000002</v>
      </c>
      <c r="Z55" s="92" t="str">
        <f t="shared" si="17"/>
        <v>открыт</v>
      </c>
    </row>
    <row r="56" spans="1:26" s="17" customFormat="1" ht="11.25">
      <c r="A56" s="74">
        <v>37</v>
      </c>
      <c r="B56" s="73" t="s">
        <v>82</v>
      </c>
      <c r="C56" s="55">
        <v>2.5</v>
      </c>
      <c r="D56" s="45">
        <v>0.73</v>
      </c>
      <c r="E56" s="55">
        <v>1.6</v>
      </c>
      <c r="F56" s="55" t="s">
        <v>212</v>
      </c>
      <c r="G56" s="55">
        <f t="shared" si="3"/>
        <v>1.6</v>
      </c>
      <c r="H56" s="55">
        <v>0</v>
      </c>
      <c r="I56" s="55">
        <f t="shared" si="4"/>
        <v>1.6</v>
      </c>
      <c r="J56" s="55">
        <f t="shared" si="5"/>
        <v>0.8700000000000001</v>
      </c>
      <c r="K56" s="55">
        <f t="shared" si="15"/>
        <v>0.8700000000000001</v>
      </c>
      <c r="L56" s="89" t="str">
        <f t="shared" si="16"/>
        <v>открыт</v>
      </c>
      <c r="M56" s="94"/>
      <c r="N56" s="74">
        <v>38</v>
      </c>
      <c r="O56" s="73" t="s">
        <v>82</v>
      </c>
      <c r="P56" s="55">
        <v>2.5</v>
      </c>
      <c r="Q56" s="18">
        <v>0.015</v>
      </c>
      <c r="R56" s="71">
        <f t="shared" si="6"/>
        <v>0.745</v>
      </c>
      <c r="S56" s="69">
        <f t="shared" si="7"/>
        <v>1.6</v>
      </c>
      <c r="T56" s="70" t="str">
        <f t="shared" si="13"/>
        <v>1сутки</v>
      </c>
      <c r="U56" s="55">
        <f t="shared" si="9"/>
        <v>1.6</v>
      </c>
      <c r="V56" s="55">
        <v>0</v>
      </c>
      <c r="W56" s="55">
        <f t="shared" si="10"/>
        <v>1.6</v>
      </c>
      <c r="X56" s="55">
        <f t="shared" si="11"/>
        <v>0.8550000000000001</v>
      </c>
      <c r="Y56" s="91">
        <f t="shared" si="12"/>
        <v>0.8550000000000001</v>
      </c>
      <c r="Z56" s="92" t="str">
        <f t="shared" si="17"/>
        <v>открыт</v>
      </c>
    </row>
    <row r="57" spans="1:26" s="17" customFormat="1" ht="11.25">
      <c r="A57" s="74">
        <v>38</v>
      </c>
      <c r="B57" s="73" t="s">
        <v>83</v>
      </c>
      <c r="C57" s="55">
        <v>1.6</v>
      </c>
      <c r="D57" s="45">
        <v>0.71</v>
      </c>
      <c r="E57" s="55">
        <v>1.6</v>
      </c>
      <c r="F57" s="55" t="s">
        <v>212</v>
      </c>
      <c r="G57" s="55">
        <f t="shared" si="3"/>
        <v>1.6</v>
      </c>
      <c r="H57" s="55">
        <v>0</v>
      </c>
      <c r="I57" s="55">
        <f t="shared" si="4"/>
        <v>1.6</v>
      </c>
      <c r="J57" s="55">
        <f t="shared" si="5"/>
        <v>0.8900000000000001</v>
      </c>
      <c r="K57" s="55">
        <f t="shared" si="15"/>
        <v>0.8900000000000001</v>
      </c>
      <c r="L57" s="89" t="str">
        <f t="shared" si="16"/>
        <v>открыт</v>
      </c>
      <c r="M57" s="94"/>
      <c r="N57" s="74">
        <v>39</v>
      </c>
      <c r="O57" s="73" t="s">
        <v>83</v>
      </c>
      <c r="P57" s="55">
        <v>1.6</v>
      </c>
      <c r="Q57" s="18">
        <v>0.013</v>
      </c>
      <c r="R57" s="71">
        <f t="shared" si="6"/>
        <v>0.723</v>
      </c>
      <c r="S57" s="69">
        <f t="shared" si="7"/>
        <v>1.6</v>
      </c>
      <c r="T57" s="70" t="str">
        <f t="shared" si="13"/>
        <v>1сутки</v>
      </c>
      <c r="U57" s="55">
        <f t="shared" si="9"/>
        <v>1.6</v>
      </c>
      <c r="V57" s="55">
        <v>0</v>
      </c>
      <c r="W57" s="55">
        <f t="shared" si="10"/>
        <v>1.6</v>
      </c>
      <c r="X57" s="55">
        <f t="shared" si="11"/>
        <v>0.8770000000000001</v>
      </c>
      <c r="Y57" s="91">
        <f t="shared" si="12"/>
        <v>0.8770000000000001</v>
      </c>
      <c r="Z57" s="92" t="str">
        <f t="shared" si="17"/>
        <v>открыт</v>
      </c>
    </row>
    <row r="58" spans="1:26" s="17" customFormat="1" ht="11.25">
      <c r="A58" s="74">
        <v>39</v>
      </c>
      <c r="B58" s="73" t="s">
        <v>84</v>
      </c>
      <c r="C58" s="55">
        <v>1</v>
      </c>
      <c r="D58" s="45">
        <v>0.36</v>
      </c>
      <c r="E58" s="55">
        <v>1.6</v>
      </c>
      <c r="F58" s="55" t="s">
        <v>212</v>
      </c>
      <c r="G58" s="55">
        <f t="shared" si="3"/>
        <v>1.6</v>
      </c>
      <c r="H58" s="55">
        <v>0</v>
      </c>
      <c r="I58" s="55">
        <f t="shared" si="4"/>
        <v>1.6</v>
      </c>
      <c r="J58" s="55">
        <f t="shared" si="5"/>
        <v>1.2400000000000002</v>
      </c>
      <c r="K58" s="55">
        <f t="shared" si="15"/>
        <v>1.2400000000000002</v>
      </c>
      <c r="L58" s="89" t="str">
        <f t="shared" si="16"/>
        <v>открыт</v>
      </c>
      <c r="M58" s="94"/>
      <c r="N58" s="74">
        <v>40</v>
      </c>
      <c r="O58" s="73" t="s">
        <v>84</v>
      </c>
      <c r="P58" s="55">
        <v>1</v>
      </c>
      <c r="Q58" s="18">
        <v>0.006</v>
      </c>
      <c r="R58" s="71">
        <f t="shared" si="6"/>
        <v>0.366</v>
      </c>
      <c r="S58" s="69">
        <f t="shared" si="7"/>
        <v>1.6</v>
      </c>
      <c r="T58" s="70" t="str">
        <f t="shared" si="13"/>
        <v>1сутки</v>
      </c>
      <c r="U58" s="55">
        <f t="shared" si="9"/>
        <v>1.6</v>
      </c>
      <c r="V58" s="55">
        <v>0</v>
      </c>
      <c r="W58" s="55">
        <f t="shared" si="10"/>
        <v>1.6</v>
      </c>
      <c r="X58" s="55">
        <f t="shared" si="11"/>
        <v>1.234</v>
      </c>
      <c r="Y58" s="91">
        <f t="shared" si="12"/>
        <v>1.234</v>
      </c>
      <c r="Z58" s="92" t="str">
        <f t="shared" si="17"/>
        <v>открыт</v>
      </c>
    </row>
    <row r="59" spans="1:26" s="17" customFormat="1" ht="11.25">
      <c r="A59" s="74">
        <v>40</v>
      </c>
      <c r="B59" s="73" t="s">
        <v>85</v>
      </c>
      <c r="C59" s="55">
        <v>2.5</v>
      </c>
      <c r="D59" s="45">
        <v>0.4</v>
      </c>
      <c r="E59" s="55">
        <v>1.6</v>
      </c>
      <c r="F59" s="55" t="s">
        <v>212</v>
      </c>
      <c r="G59" s="55">
        <f t="shared" si="3"/>
        <v>1.6</v>
      </c>
      <c r="H59" s="55">
        <v>0</v>
      </c>
      <c r="I59" s="55">
        <f t="shared" si="4"/>
        <v>1.6</v>
      </c>
      <c r="J59" s="55">
        <f t="shared" si="5"/>
        <v>1.2000000000000002</v>
      </c>
      <c r="K59" s="55">
        <f t="shared" si="15"/>
        <v>1.2000000000000002</v>
      </c>
      <c r="L59" s="89" t="str">
        <f t="shared" si="16"/>
        <v>открыт</v>
      </c>
      <c r="M59" s="94"/>
      <c r="N59" s="74">
        <v>41</v>
      </c>
      <c r="O59" s="73" t="s">
        <v>85</v>
      </c>
      <c r="P59" s="55">
        <v>2.5</v>
      </c>
      <c r="Q59" s="18">
        <v>0.039</v>
      </c>
      <c r="R59" s="71">
        <f t="shared" si="6"/>
        <v>0.439</v>
      </c>
      <c r="S59" s="69">
        <f t="shared" si="7"/>
        <v>1.6</v>
      </c>
      <c r="T59" s="70" t="str">
        <f t="shared" si="13"/>
        <v>1сутки</v>
      </c>
      <c r="U59" s="55">
        <f t="shared" si="9"/>
        <v>1.6</v>
      </c>
      <c r="V59" s="55">
        <v>0</v>
      </c>
      <c r="W59" s="55">
        <f t="shared" si="10"/>
        <v>1.6</v>
      </c>
      <c r="X59" s="55">
        <f t="shared" si="11"/>
        <v>1.161</v>
      </c>
      <c r="Y59" s="91">
        <f t="shared" si="12"/>
        <v>1.161</v>
      </c>
      <c r="Z59" s="92" t="str">
        <f t="shared" si="17"/>
        <v>открыт</v>
      </c>
    </row>
    <row r="60" spans="1:26" s="17" customFormat="1" ht="11.25">
      <c r="A60" s="74">
        <v>41</v>
      </c>
      <c r="B60" s="61" t="s">
        <v>86</v>
      </c>
      <c r="C60" s="45" t="s">
        <v>16</v>
      </c>
      <c r="D60" s="45">
        <v>6.6</v>
      </c>
      <c r="E60" s="45">
        <v>3.88</v>
      </c>
      <c r="F60" s="45">
        <v>30</v>
      </c>
      <c r="G60" s="45">
        <f aca="true" t="shared" si="18" ref="G60:G68">D60-E60</f>
        <v>2.7199999999999998</v>
      </c>
      <c r="H60" s="45">
        <v>0</v>
      </c>
      <c r="I60" s="45">
        <f>10*1.05</f>
        <v>10.5</v>
      </c>
      <c r="J60" s="45">
        <f aca="true" t="shared" si="19" ref="J60:J121">I60-H60-G60</f>
        <v>7.78</v>
      </c>
      <c r="K60" s="45">
        <f t="shared" si="15"/>
        <v>7.78</v>
      </c>
      <c r="L60" s="12" t="str">
        <f t="shared" si="16"/>
        <v>открыт</v>
      </c>
      <c r="M60" s="94"/>
      <c r="N60" s="74">
        <v>42</v>
      </c>
      <c r="O60" s="73" t="s">
        <v>86</v>
      </c>
      <c r="P60" s="55" t="s">
        <v>16</v>
      </c>
      <c r="Q60" s="71">
        <v>0.583</v>
      </c>
      <c r="R60" s="71">
        <f t="shared" si="6"/>
        <v>7.183</v>
      </c>
      <c r="S60" s="69">
        <f t="shared" si="7"/>
        <v>3.88</v>
      </c>
      <c r="T60" s="70">
        <f t="shared" si="13"/>
        <v>30</v>
      </c>
      <c r="U60" s="71">
        <f aca="true" t="shared" si="20" ref="U60:U117">R60-S60</f>
        <v>3.303</v>
      </c>
      <c r="V60" s="55">
        <v>0</v>
      </c>
      <c r="W60" s="89">
        <f>I60</f>
        <v>10.5</v>
      </c>
      <c r="X60" s="75">
        <f>W60-V60-U60</f>
        <v>7.197</v>
      </c>
      <c r="Y60" s="76">
        <f>X60</f>
        <v>7.197</v>
      </c>
      <c r="Z60" s="92" t="str">
        <f t="shared" si="17"/>
        <v>открыт</v>
      </c>
    </row>
    <row r="61" spans="1:26" s="17" customFormat="1" ht="22.5">
      <c r="A61" s="41">
        <v>42</v>
      </c>
      <c r="B61" s="61" t="s">
        <v>87</v>
      </c>
      <c r="C61" s="45" t="s">
        <v>17</v>
      </c>
      <c r="D61" s="45">
        <v>0.4</v>
      </c>
      <c r="E61" s="45">
        <v>0.93</v>
      </c>
      <c r="F61" s="45">
        <v>90</v>
      </c>
      <c r="G61" s="45">
        <f t="shared" si="18"/>
        <v>-0.53</v>
      </c>
      <c r="H61" s="45">
        <v>0</v>
      </c>
      <c r="I61" s="19">
        <f>2.5*1.05</f>
        <v>2.625</v>
      </c>
      <c r="J61" s="19">
        <f t="shared" si="19"/>
        <v>3.1550000000000002</v>
      </c>
      <c r="K61" s="19">
        <f t="shared" si="15"/>
        <v>3.1550000000000002</v>
      </c>
      <c r="L61" s="12" t="str">
        <f t="shared" si="16"/>
        <v>открыт</v>
      </c>
      <c r="M61" s="94"/>
      <c r="N61" s="41">
        <v>43</v>
      </c>
      <c r="O61" s="61" t="s">
        <v>87</v>
      </c>
      <c r="P61" s="45" t="s">
        <v>17</v>
      </c>
      <c r="Q61" s="71">
        <v>0.082</v>
      </c>
      <c r="R61" s="18">
        <f t="shared" si="6"/>
        <v>0.48200000000000004</v>
      </c>
      <c r="S61" s="69">
        <f aca="true" t="shared" si="21" ref="S61:S124">E61</f>
        <v>0.93</v>
      </c>
      <c r="T61" s="70">
        <f aca="true" t="shared" si="22" ref="T61:T124">F61</f>
        <v>90</v>
      </c>
      <c r="U61" s="18">
        <f t="shared" si="20"/>
        <v>-0.448</v>
      </c>
      <c r="V61" s="45">
        <v>0</v>
      </c>
      <c r="W61" s="12">
        <f aca="true" t="shared" si="23" ref="W61:W124">I61</f>
        <v>2.625</v>
      </c>
      <c r="X61" s="75">
        <f aca="true" t="shared" si="24" ref="X61:X124">W61-V61-U61</f>
        <v>3.073</v>
      </c>
      <c r="Y61" s="76">
        <f aca="true" t="shared" si="25" ref="Y61:Y123">X61</f>
        <v>3.073</v>
      </c>
      <c r="Z61" s="16" t="str">
        <f aca="true" t="shared" si="26" ref="Z61:Z123">IF(Y61&lt;0,"закрыт","открыт")</f>
        <v>открыт</v>
      </c>
    </row>
    <row r="62" spans="1:26" s="17" customFormat="1" ht="11.25">
      <c r="A62" s="41">
        <v>43</v>
      </c>
      <c r="B62" s="61" t="s">
        <v>88</v>
      </c>
      <c r="C62" s="45" t="s">
        <v>18</v>
      </c>
      <c r="D62" s="45">
        <v>0.56</v>
      </c>
      <c r="E62" s="45">
        <v>0</v>
      </c>
      <c r="F62" s="45" t="s">
        <v>209</v>
      </c>
      <c r="G62" s="45">
        <f t="shared" si="18"/>
        <v>0.56</v>
      </c>
      <c r="H62" s="45">
        <v>0</v>
      </c>
      <c r="I62" s="45">
        <f>1.6*1.05</f>
        <v>1.6800000000000002</v>
      </c>
      <c r="J62" s="45">
        <f t="shared" si="19"/>
        <v>1.12</v>
      </c>
      <c r="K62" s="45">
        <f t="shared" si="15"/>
        <v>1.12</v>
      </c>
      <c r="L62" s="12" t="str">
        <f t="shared" si="16"/>
        <v>открыт</v>
      </c>
      <c r="M62" s="94"/>
      <c r="N62" s="41">
        <v>44</v>
      </c>
      <c r="O62" s="61" t="s">
        <v>88</v>
      </c>
      <c r="P62" s="45" t="s">
        <v>18</v>
      </c>
      <c r="Q62" s="18">
        <v>0.035</v>
      </c>
      <c r="R62" s="18">
        <f t="shared" si="6"/>
        <v>0.5950000000000001</v>
      </c>
      <c r="S62" s="69">
        <f t="shared" si="21"/>
        <v>0</v>
      </c>
      <c r="T62" s="70"/>
      <c r="U62" s="18">
        <f t="shared" si="20"/>
        <v>0.5950000000000001</v>
      </c>
      <c r="V62" s="45">
        <v>0</v>
      </c>
      <c r="W62" s="12">
        <f t="shared" si="23"/>
        <v>1.6800000000000002</v>
      </c>
      <c r="X62" s="75">
        <f t="shared" si="24"/>
        <v>1.085</v>
      </c>
      <c r="Y62" s="76">
        <f t="shared" si="25"/>
        <v>1.085</v>
      </c>
      <c r="Z62" s="16" t="str">
        <f t="shared" si="26"/>
        <v>открыт</v>
      </c>
    </row>
    <row r="63" spans="1:26" s="88" customFormat="1" ht="22.5">
      <c r="A63" s="41">
        <v>44</v>
      </c>
      <c r="B63" s="73" t="s">
        <v>89</v>
      </c>
      <c r="C63" s="55" t="s">
        <v>16</v>
      </c>
      <c r="D63" s="45">
        <v>2.9</v>
      </c>
      <c r="E63" s="55">
        <f>E64+E65</f>
        <v>3.06</v>
      </c>
      <c r="F63" s="55">
        <v>90</v>
      </c>
      <c r="G63" s="55">
        <f t="shared" si="18"/>
        <v>-0.16000000000000014</v>
      </c>
      <c r="H63" s="55">
        <v>0</v>
      </c>
      <c r="I63" s="55">
        <f>10*1.05</f>
        <v>10.5</v>
      </c>
      <c r="J63" s="55">
        <f t="shared" si="19"/>
        <v>10.66</v>
      </c>
      <c r="K63" s="135">
        <f>MIN(J63:J65)</f>
        <v>10.29</v>
      </c>
      <c r="L63" s="114" t="str">
        <f t="shared" si="16"/>
        <v>открыт</v>
      </c>
      <c r="M63" s="94"/>
      <c r="N63" s="151">
        <v>45</v>
      </c>
      <c r="O63" s="73" t="s">
        <v>89</v>
      </c>
      <c r="P63" s="55" t="s">
        <v>16</v>
      </c>
      <c r="Q63" s="18">
        <f>Q65+Q64</f>
        <v>2.146</v>
      </c>
      <c r="R63" s="71">
        <f>R64+R65</f>
        <v>5.016</v>
      </c>
      <c r="S63" s="69">
        <f t="shared" si="21"/>
        <v>3.06</v>
      </c>
      <c r="T63" s="70">
        <f t="shared" si="22"/>
        <v>90</v>
      </c>
      <c r="U63" s="71">
        <f t="shared" si="20"/>
        <v>1.956</v>
      </c>
      <c r="V63" s="55">
        <v>0</v>
      </c>
      <c r="W63" s="89">
        <f t="shared" si="23"/>
        <v>10.5</v>
      </c>
      <c r="X63" s="75">
        <f t="shared" si="24"/>
        <v>8.544</v>
      </c>
      <c r="Y63" s="144">
        <f t="shared" si="25"/>
        <v>8.544</v>
      </c>
      <c r="Z63" s="147" t="str">
        <f t="shared" si="26"/>
        <v>открыт</v>
      </c>
    </row>
    <row r="64" spans="1:26" s="88" customFormat="1" ht="11.25">
      <c r="A64" s="74">
        <v>45</v>
      </c>
      <c r="B64" s="73" t="s">
        <v>206</v>
      </c>
      <c r="C64" s="55" t="s">
        <v>16</v>
      </c>
      <c r="D64" s="45">
        <v>2.64</v>
      </c>
      <c r="E64" s="55">
        <v>2.43</v>
      </c>
      <c r="F64" s="55">
        <v>90</v>
      </c>
      <c r="G64" s="55">
        <f t="shared" si="18"/>
        <v>0.20999999999999996</v>
      </c>
      <c r="H64" s="55">
        <v>0</v>
      </c>
      <c r="I64" s="55">
        <f>10*1.05</f>
        <v>10.5</v>
      </c>
      <c r="J64" s="55">
        <f t="shared" si="19"/>
        <v>10.29</v>
      </c>
      <c r="K64" s="135"/>
      <c r="L64" s="114"/>
      <c r="M64" s="94"/>
      <c r="N64" s="151"/>
      <c r="O64" s="73" t="s">
        <v>206</v>
      </c>
      <c r="P64" s="55" t="s">
        <v>16</v>
      </c>
      <c r="Q64" s="18">
        <f>Q27+Q111</f>
        <v>0.6639999999999999</v>
      </c>
      <c r="R64" s="71">
        <f t="shared" si="6"/>
        <v>3.3040000000000003</v>
      </c>
      <c r="S64" s="69">
        <f t="shared" si="21"/>
        <v>2.43</v>
      </c>
      <c r="T64" s="70">
        <f t="shared" si="22"/>
        <v>90</v>
      </c>
      <c r="U64" s="71">
        <f t="shared" si="20"/>
        <v>0.8740000000000001</v>
      </c>
      <c r="V64" s="55">
        <v>0</v>
      </c>
      <c r="W64" s="89">
        <f t="shared" si="23"/>
        <v>10.5</v>
      </c>
      <c r="X64" s="75">
        <f t="shared" si="24"/>
        <v>9.626</v>
      </c>
      <c r="Y64" s="145"/>
      <c r="Z64" s="148"/>
    </row>
    <row r="65" spans="1:26" s="88" customFormat="1" ht="11.25">
      <c r="A65" s="74"/>
      <c r="B65" s="73" t="s">
        <v>207</v>
      </c>
      <c r="C65" s="55" t="s">
        <v>16</v>
      </c>
      <c r="D65" s="45">
        <v>0.23</v>
      </c>
      <c r="E65" s="55">
        <v>0.63</v>
      </c>
      <c r="F65" s="55">
        <v>90</v>
      </c>
      <c r="G65" s="55">
        <f t="shared" si="18"/>
        <v>-0.4</v>
      </c>
      <c r="H65" s="55">
        <v>0</v>
      </c>
      <c r="I65" s="55">
        <f>10*1.05</f>
        <v>10.5</v>
      </c>
      <c r="J65" s="55">
        <f t="shared" si="19"/>
        <v>10.9</v>
      </c>
      <c r="K65" s="135"/>
      <c r="L65" s="114"/>
      <c r="M65" s="94"/>
      <c r="N65" s="151"/>
      <c r="O65" s="73" t="s">
        <v>207</v>
      </c>
      <c r="P65" s="55" t="s">
        <v>16</v>
      </c>
      <c r="Q65" s="18">
        <v>1.482</v>
      </c>
      <c r="R65" s="71">
        <f t="shared" si="6"/>
        <v>1.712</v>
      </c>
      <c r="S65" s="69">
        <f t="shared" si="21"/>
        <v>0.63</v>
      </c>
      <c r="T65" s="70">
        <f t="shared" si="22"/>
        <v>90</v>
      </c>
      <c r="U65" s="71">
        <f t="shared" si="20"/>
        <v>1.0819999999999999</v>
      </c>
      <c r="V65" s="55">
        <v>0</v>
      </c>
      <c r="W65" s="89">
        <f t="shared" si="23"/>
        <v>10.5</v>
      </c>
      <c r="X65" s="75">
        <f t="shared" si="24"/>
        <v>9.418</v>
      </c>
      <c r="Y65" s="146"/>
      <c r="Z65" s="149"/>
    </row>
    <row r="66" spans="1:26" s="17" customFormat="1" ht="11.25">
      <c r="A66" s="74"/>
      <c r="B66" s="61" t="s">
        <v>90</v>
      </c>
      <c r="C66" s="45" t="s">
        <v>19</v>
      </c>
      <c r="D66" s="45">
        <v>0.83</v>
      </c>
      <c r="E66" s="45">
        <v>0.64</v>
      </c>
      <c r="F66" s="45">
        <v>60</v>
      </c>
      <c r="G66" s="45">
        <f t="shared" si="18"/>
        <v>0.18999999999999995</v>
      </c>
      <c r="H66" s="45">
        <v>0</v>
      </c>
      <c r="I66" s="45">
        <f>1.6*1.05</f>
        <v>1.6800000000000002</v>
      </c>
      <c r="J66" s="45">
        <f t="shared" si="19"/>
        <v>1.4900000000000002</v>
      </c>
      <c r="K66" s="45">
        <f>J66</f>
        <v>1.4900000000000002</v>
      </c>
      <c r="L66" s="12" t="str">
        <f>IF(K66&lt;0,"закрыт","открыт")</f>
        <v>открыт</v>
      </c>
      <c r="M66" s="94"/>
      <c r="N66" s="41">
        <v>46</v>
      </c>
      <c r="O66" s="61" t="s">
        <v>90</v>
      </c>
      <c r="P66" s="45" t="s">
        <v>19</v>
      </c>
      <c r="Q66" s="71">
        <v>0.048</v>
      </c>
      <c r="R66" s="18">
        <f t="shared" si="6"/>
        <v>0.878</v>
      </c>
      <c r="S66" s="69">
        <f t="shared" si="21"/>
        <v>0.64</v>
      </c>
      <c r="T66" s="70">
        <f t="shared" si="22"/>
        <v>60</v>
      </c>
      <c r="U66" s="18">
        <f t="shared" si="20"/>
        <v>0.238</v>
      </c>
      <c r="V66" s="45">
        <v>0</v>
      </c>
      <c r="W66" s="12">
        <f t="shared" si="23"/>
        <v>1.6800000000000002</v>
      </c>
      <c r="X66" s="75">
        <f t="shared" si="24"/>
        <v>1.4420000000000002</v>
      </c>
      <c r="Y66" s="76">
        <f t="shared" si="25"/>
        <v>1.4420000000000002</v>
      </c>
      <c r="Z66" s="16" t="str">
        <f t="shared" si="26"/>
        <v>открыт</v>
      </c>
    </row>
    <row r="67" spans="1:26" s="17" customFormat="1" ht="11.25">
      <c r="A67" s="41">
        <v>46</v>
      </c>
      <c r="B67" s="61" t="s">
        <v>91</v>
      </c>
      <c r="C67" s="45" t="s">
        <v>20</v>
      </c>
      <c r="D67" s="45">
        <v>2.88</v>
      </c>
      <c r="E67" s="45">
        <v>2.05</v>
      </c>
      <c r="F67" s="45">
        <v>90</v>
      </c>
      <c r="G67" s="45">
        <f t="shared" si="18"/>
        <v>0.8300000000000001</v>
      </c>
      <c r="H67" s="45">
        <v>0</v>
      </c>
      <c r="I67" s="19">
        <f>6.3*1.05</f>
        <v>6.615</v>
      </c>
      <c r="J67" s="19">
        <f t="shared" si="19"/>
        <v>5.785</v>
      </c>
      <c r="K67" s="19">
        <f>J67</f>
        <v>5.785</v>
      </c>
      <c r="L67" s="12" t="str">
        <f>IF(K67&lt;0,"закрыт","открыт")</f>
        <v>открыт</v>
      </c>
      <c r="M67" s="94"/>
      <c r="N67" s="41">
        <v>47</v>
      </c>
      <c r="O67" s="61" t="s">
        <v>91</v>
      </c>
      <c r="P67" s="45" t="s">
        <v>20</v>
      </c>
      <c r="Q67" s="71">
        <v>0.589</v>
      </c>
      <c r="R67" s="18">
        <f t="shared" si="6"/>
        <v>3.469</v>
      </c>
      <c r="S67" s="69">
        <f t="shared" si="21"/>
        <v>2.05</v>
      </c>
      <c r="T67" s="70">
        <f t="shared" si="22"/>
        <v>90</v>
      </c>
      <c r="U67" s="18">
        <f t="shared" si="20"/>
        <v>1.419</v>
      </c>
      <c r="V67" s="45">
        <v>0</v>
      </c>
      <c r="W67" s="12">
        <f t="shared" si="23"/>
        <v>6.615</v>
      </c>
      <c r="X67" s="75">
        <f t="shared" si="24"/>
        <v>5.196</v>
      </c>
      <c r="Y67" s="76">
        <f t="shared" si="25"/>
        <v>5.196</v>
      </c>
      <c r="Z67" s="16" t="str">
        <f t="shared" si="26"/>
        <v>открыт</v>
      </c>
    </row>
    <row r="68" spans="1:26" s="17" customFormat="1" ht="11.25">
      <c r="A68" s="41">
        <v>47</v>
      </c>
      <c r="B68" s="61" t="s">
        <v>92</v>
      </c>
      <c r="C68" s="45" t="s">
        <v>93</v>
      </c>
      <c r="D68" s="45">
        <v>3.85</v>
      </c>
      <c r="E68" s="45">
        <v>1.46</v>
      </c>
      <c r="F68" s="45">
        <v>30</v>
      </c>
      <c r="G68" s="45">
        <f t="shared" si="18"/>
        <v>2.39</v>
      </c>
      <c r="H68" s="45">
        <v>0</v>
      </c>
      <c r="I68" s="19">
        <f>2.5*1.05</f>
        <v>2.625</v>
      </c>
      <c r="J68" s="19">
        <f t="shared" si="19"/>
        <v>0.23499999999999988</v>
      </c>
      <c r="K68" s="19">
        <f>J68</f>
        <v>0.23499999999999988</v>
      </c>
      <c r="L68" s="12" t="str">
        <f>IF(K68&lt;0,"закрыт","открыт")</f>
        <v>открыт</v>
      </c>
      <c r="M68" s="94"/>
      <c r="N68" s="24">
        <v>48</v>
      </c>
      <c r="O68" s="63" t="s">
        <v>92</v>
      </c>
      <c r="P68" s="23" t="s">
        <v>93</v>
      </c>
      <c r="Q68" s="29">
        <v>3.766</v>
      </c>
      <c r="R68" s="29">
        <f t="shared" si="6"/>
        <v>7.616</v>
      </c>
      <c r="S68" s="64">
        <f t="shared" si="21"/>
        <v>1.46</v>
      </c>
      <c r="T68" s="68">
        <f t="shared" si="22"/>
        <v>30</v>
      </c>
      <c r="U68" s="29">
        <f t="shared" si="20"/>
        <v>6.156</v>
      </c>
      <c r="V68" s="23">
        <v>0</v>
      </c>
      <c r="W68" s="28">
        <f t="shared" si="23"/>
        <v>2.625</v>
      </c>
      <c r="X68" s="53">
        <f t="shared" si="24"/>
        <v>-3.5309999999999997</v>
      </c>
      <c r="Y68" s="30">
        <f t="shared" si="25"/>
        <v>-3.5309999999999997</v>
      </c>
      <c r="Z68" s="65" t="str">
        <f t="shared" si="26"/>
        <v>закрыт</v>
      </c>
    </row>
    <row r="69" spans="1:26" s="17" customFormat="1" ht="11.25">
      <c r="A69" s="41">
        <v>48</v>
      </c>
      <c r="B69" s="61" t="s">
        <v>94</v>
      </c>
      <c r="C69" s="45" t="s">
        <v>95</v>
      </c>
      <c r="D69" s="45">
        <v>14.87</v>
      </c>
      <c r="E69" s="45">
        <v>5.87</v>
      </c>
      <c r="F69" s="45">
        <v>120</v>
      </c>
      <c r="G69" s="45">
        <f aca="true" t="shared" si="27" ref="G69:G132">D69-E69</f>
        <v>9</v>
      </c>
      <c r="H69" s="45">
        <v>0</v>
      </c>
      <c r="I69" s="45">
        <f>15*1.05</f>
        <v>15.75</v>
      </c>
      <c r="J69" s="45">
        <f t="shared" si="19"/>
        <v>6.75</v>
      </c>
      <c r="K69" s="45">
        <f>J69</f>
        <v>6.75</v>
      </c>
      <c r="L69" s="12" t="str">
        <f>IF(K69&lt;0,"закрыт","открыт")</f>
        <v>открыт</v>
      </c>
      <c r="M69" s="94"/>
      <c r="N69" s="41">
        <v>49</v>
      </c>
      <c r="O69" s="61" t="s">
        <v>94</v>
      </c>
      <c r="P69" s="45" t="s">
        <v>95</v>
      </c>
      <c r="Q69" s="71">
        <v>0.471</v>
      </c>
      <c r="R69" s="18">
        <f t="shared" si="6"/>
        <v>15.341</v>
      </c>
      <c r="S69" s="69">
        <f t="shared" si="21"/>
        <v>5.87</v>
      </c>
      <c r="T69" s="70">
        <f t="shared" si="22"/>
        <v>120</v>
      </c>
      <c r="U69" s="18">
        <f t="shared" si="20"/>
        <v>9.471</v>
      </c>
      <c r="V69" s="45"/>
      <c r="W69" s="12">
        <f t="shared" si="23"/>
        <v>15.75</v>
      </c>
      <c r="X69" s="75">
        <f t="shared" si="24"/>
        <v>6.279</v>
      </c>
      <c r="Y69" s="76">
        <f t="shared" si="25"/>
        <v>6.279</v>
      </c>
      <c r="Z69" s="16" t="str">
        <f t="shared" si="26"/>
        <v>открыт</v>
      </c>
    </row>
    <row r="70" spans="1:26" s="17" customFormat="1" ht="22.5">
      <c r="A70" s="41">
        <v>49</v>
      </c>
      <c r="B70" s="61" t="s">
        <v>96</v>
      </c>
      <c r="C70" s="45" t="s">
        <v>16</v>
      </c>
      <c r="D70" s="45">
        <v>3.64</v>
      </c>
      <c r="E70" s="45">
        <f>E71+E72</f>
        <v>0.45</v>
      </c>
      <c r="F70" s="45">
        <v>60</v>
      </c>
      <c r="G70" s="45">
        <f t="shared" si="27"/>
        <v>3.19</v>
      </c>
      <c r="H70" s="45">
        <v>0</v>
      </c>
      <c r="I70" s="45">
        <f>10*1.05</f>
        <v>10.5</v>
      </c>
      <c r="J70" s="45">
        <f t="shared" si="19"/>
        <v>7.3100000000000005</v>
      </c>
      <c r="K70" s="135">
        <f>MIN(J70:J72)</f>
        <v>7.3100000000000005</v>
      </c>
      <c r="L70" s="136" t="str">
        <f>IF(K70&lt;0,"закрыт","открыт")</f>
        <v>открыт</v>
      </c>
      <c r="M70" s="94"/>
      <c r="N70" s="150">
        <v>50</v>
      </c>
      <c r="O70" s="61" t="s">
        <v>96</v>
      </c>
      <c r="P70" s="45" t="s">
        <v>16</v>
      </c>
      <c r="Q70" s="71">
        <f>Q72+Q71</f>
        <v>0.194</v>
      </c>
      <c r="R70" s="18">
        <f>R71+R72</f>
        <v>3.824</v>
      </c>
      <c r="S70" s="69">
        <f t="shared" si="21"/>
        <v>0.45</v>
      </c>
      <c r="T70" s="70">
        <f t="shared" si="22"/>
        <v>60</v>
      </c>
      <c r="U70" s="18">
        <f t="shared" si="20"/>
        <v>3.3739999999999997</v>
      </c>
      <c r="V70" s="45">
        <v>0</v>
      </c>
      <c r="W70" s="12">
        <f t="shared" si="23"/>
        <v>10.5</v>
      </c>
      <c r="X70" s="75">
        <f t="shared" si="24"/>
        <v>7.126</v>
      </c>
      <c r="Y70" s="140">
        <f t="shared" si="25"/>
        <v>7.126</v>
      </c>
      <c r="Z70" s="152" t="str">
        <f t="shared" si="26"/>
        <v>открыт</v>
      </c>
    </row>
    <row r="71" spans="1:26" s="17" customFormat="1" ht="11.25">
      <c r="A71" s="41">
        <v>50</v>
      </c>
      <c r="B71" s="61" t="s">
        <v>206</v>
      </c>
      <c r="C71" s="45" t="s">
        <v>16</v>
      </c>
      <c r="D71" s="45">
        <v>0.31</v>
      </c>
      <c r="E71" s="45">
        <v>0</v>
      </c>
      <c r="F71" s="45">
        <v>0</v>
      </c>
      <c r="G71" s="45">
        <f t="shared" si="27"/>
        <v>0.31</v>
      </c>
      <c r="H71" s="45">
        <v>0</v>
      </c>
      <c r="I71" s="45">
        <f>10*1.05</f>
        <v>10.5</v>
      </c>
      <c r="J71" s="45">
        <f t="shared" si="19"/>
        <v>10.19</v>
      </c>
      <c r="K71" s="135"/>
      <c r="L71" s="136"/>
      <c r="M71" s="94"/>
      <c r="N71" s="150"/>
      <c r="O71" s="61" t="s">
        <v>206</v>
      </c>
      <c r="P71" s="45" t="s">
        <v>16</v>
      </c>
      <c r="Q71" s="102">
        <f>Q10</f>
        <v>0.012</v>
      </c>
      <c r="R71" s="18">
        <f aca="true" t="shared" si="28" ref="R71:R133">Q71+D71</f>
        <v>0.322</v>
      </c>
      <c r="S71" s="69">
        <f t="shared" si="21"/>
        <v>0</v>
      </c>
      <c r="T71" s="70"/>
      <c r="U71" s="18">
        <f t="shared" si="20"/>
        <v>0.322</v>
      </c>
      <c r="V71" s="55">
        <v>0</v>
      </c>
      <c r="W71" s="12">
        <f t="shared" si="23"/>
        <v>10.5</v>
      </c>
      <c r="X71" s="75">
        <f t="shared" si="24"/>
        <v>10.178</v>
      </c>
      <c r="Y71" s="125"/>
      <c r="Z71" s="138"/>
    </row>
    <row r="72" spans="1:26" s="17" customFormat="1" ht="11.25">
      <c r="A72" s="41"/>
      <c r="B72" s="61" t="s">
        <v>207</v>
      </c>
      <c r="C72" s="45" t="s">
        <v>16</v>
      </c>
      <c r="D72" s="45">
        <v>3.32</v>
      </c>
      <c r="E72" s="45">
        <v>0.45</v>
      </c>
      <c r="F72" s="45">
        <v>60</v>
      </c>
      <c r="G72" s="45">
        <f t="shared" si="27"/>
        <v>2.8699999999999997</v>
      </c>
      <c r="H72" s="45">
        <v>0</v>
      </c>
      <c r="I72" s="45">
        <f>10*1.05</f>
        <v>10.5</v>
      </c>
      <c r="J72" s="45">
        <f t="shared" si="19"/>
        <v>7.630000000000001</v>
      </c>
      <c r="K72" s="135"/>
      <c r="L72" s="136"/>
      <c r="M72" s="94"/>
      <c r="N72" s="150"/>
      <c r="O72" s="61" t="s">
        <v>207</v>
      </c>
      <c r="P72" s="45" t="s">
        <v>16</v>
      </c>
      <c r="Q72" s="71">
        <v>0.182</v>
      </c>
      <c r="R72" s="18">
        <f t="shared" si="28"/>
        <v>3.502</v>
      </c>
      <c r="S72" s="69">
        <f t="shared" si="21"/>
        <v>0.45</v>
      </c>
      <c r="T72" s="70">
        <f t="shared" si="22"/>
        <v>60</v>
      </c>
      <c r="U72" s="18">
        <f t="shared" si="20"/>
        <v>3.0519999999999996</v>
      </c>
      <c r="V72" s="45">
        <v>0</v>
      </c>
      <c r="W72" s="12">
        <f t="shared" si="23"/>
        <v>10.5</v>
      </c>
      <c r="X72" s="75">
        <f t="shared" si="24"/>
        <v>7.448</v>
      </c>
      <c r="Y72" s="126"/>
      <c r="Z72" s="139"/>
    </row>
    <row r="73" spans="1:26" s="17" customFormat="1" ht="22.5">
      <c r="A73" s="41"/>
      <c r="B73" s="61" t="s">
        <v>97</v>
      </c>
      <c r="C73" s="45" t="s">
        <v>21</v>
      </c>
      <c r="D73" s="45">
        <v>12.57</v>
      </c>
      <c r="E73" s="45">
        <v>3.98</v>
      </c>
      <c r="F73" s="45">
        <v>180</v>
      </c>
      <c r="G73" s="45">
        <f t="shared" si="27"/>
        <v>8.59</v>
      </c>
      <c r="H73" s="45">
        <v>0</v>
      </c>
      <c r="I73" s="45">
        <f>16*1.05</f>
        <v>16.8</v>
      </c>
      <c r="J73" s="45">
        <f t="shared" si="19"/>
        <v>8.21</v>
      </c>
      <c r="K73" s="45">
        <f aca="true" t="shared" si="29" ref="K73:K78">J73</f>
        <v>8.21</v>
      </c>
      <c r="L73" s="12" t="str">
        <f aca="true" t="shared" si="30" ref="L73:L79">IF(K73&lt;0,"закрыт","открыт")</f>
        <v>открыт</v>
      </c>
      <c r="M73" s="94"/>
      <c r="N73" s="41">
        <v>51</v>
      </c>
      <c r="O73" s="61" t="s">
        <v>97</v>
      </c>
      <c r="P73" s="45" t="s">
        <v>21</v>
      </c>
      <c r="Q73" s="71">
        <v>1.942</v>
      </c>
      <c r="R73" s="18">
        <f t="shared" si="28"/>
        <v>14.512</v>
      </c>
      <c r="S73" s="69">
        <f t="shared" si="21"/>
        <v>3.98</v>
      </c>
      <c r="T73" s="70">
        <f t="shared" si="22"/>
        <v>180</v>
      </c>
      <c r="U73" s="18">
        <f t="shared" si="20"/>
        <v>10.532</v>
      </c>
      <c r="V73" s="45">
        <v>0</v>
      </c>
      <c r="W73" s="12">
        <f t="shared" si="23"/>
        <v>16.8</v>
      </c>
      <c r="X73" s="75">
        <f t="shared" si="24"/>
        <v>6.268000000000001</v>
      </c>
      <c r="Y73" s="76">
        <f t="shared" si="25"/>
        <v>6.268000000000001</v>
      </c>
      <c r="Z73" s="16" t="str">
        <f t="shared" si="26"/>
        <v>открыт</v>
      </c>
    </row>
    <row r="74" spans="1:26" s="17" customFormat="1" ht="11.25">
      <c r="A74" s="41">
        <v>51</v>
      </c>
      <c r="B74" s="61" t="s">
        <v>98</v>
      </c>
      <c r="C74" s="45" t="s">
        <v>22</v>
      </c>
      <c r="D74" s="45">
        <v>1.06</v>
      </c>
      <c r="E74" s="45">
        <v>0.64</v>
      </c>
      <c r="F74" s="45">
        <v>60</v>
      </c>
      <c r="G74" s="45">
        <f t="shared" si="27"/>
        <v>0.42000000000000004</v>
      </c>
      <c r="H74" s="45">
        <v>0</v>
      </c>
      <c r="I74" s="45">
        <f>1.8*1.05</f>
        <v>1.8900000000000001</v>
      </c>
      <c r="J74" s="45">
        <f t="shared" si="19"/>
        <v>1.4700000000000002</v>
      </c>
      <c r="K74" s="45">
        <f t="shared" si="29"/>
        <v>1.4700000000000002</v>
      </c>
      <c r="L74" s="12" t="str">
        <f t="shared" si="30"/>
        <v>открыт</v>
      </c>
      <c r="M74" s="94"/>
      <c r="N74" s="41">
        <v>52</v>
      </c>
      <c r="O74" s="61" t="s">
        <v>98</v>
      </c>
      <c r="P74" s="45" t="s">
        <v>22</v>
      </c>
      <c r="Q74" s="71">
        <v>0.021</v>
      </c>
      <c r="R74" s="18">
        <f t="shared" si="28"/>
        <v>1.081</v>
      </c>
      <c r="S74" s="69">
        <f t="shared" si="21"/>
        <v>0.64</v>
      </c>
      <c r="T74" s="70">
        <f t="shared" si="22"/>
        <v>60</v>
      </c>
      <c r="U74" s="18">
        <f t="shared" si="20"/>
        <v>0.44099999999999995</v>
      </c>
      <c r="V74" s="45">
        <v>0</v>
      </c>
      <c r="W74" s="12">
        <f t="shared" si="23"/>
        <v>1.8900000000000001</v>
      </c>
      <c r="X74" s="75">
        <f t="shared" si="24"/>
        <v>1.4490000000000003</v>
      </c>
      <c r="Y74" s="76">
        <f t="shared" si="25"/>
        <v>1.4490000000000003</v>
      </c>
      <c r="Z74" s="16" t="str">
        <f t="shared" si="26"/>
        <v>открыт</v>
      </c>
    </row>
    <row r="75" spans="1:26" s="17" customFormat="1" ht="11.25">
      <c r="A75" s="41">
        <v>52</v>
      </c>
      <c r="B75" s="61" t="s">
        <v>99</v>
      </c>
      <c r="C75" s="45" t="s">
        <v>100</v>
      </c>
      <c r="D75" s="45">
        <v>16.07</v>
      </c>
      <c r="E75" s="45">
        <v>4.39</v>
      </c>
      <c r="F75" s="45">
        <v>150</v>
      </c>
      <c r="G75" s="45">
        <f t="shared" si="27"/>
        <v>11.68</v>
      </c>
      <c r="H75" s="45">
        <v>0</v>
      </c>
      <c r="I75" s="45">
        <f>25*1.05</f>
        <v>26.25</v>
      </c>
      <c r="J75" s="45">
        <f t="shared" si="19"/>
        <v>14.57</v>
      </c>
      <c r="K75" s="45">
        <f t="shared" si="29"/>
        <v>14.57</v>
      </c>
      <c r="L75" s="12" t="str">
        <f t="shared" si="30"/>
        <v>открыт</v>
      </c>
      <c r="M75" s="94"/>
      <c r="N75" s="41">
        <v>53</v>
      </c>
      <c r="O75" s="61" t="s">
        <v>99</v>
      </c>
      <c r="P75" s="45" t="s">
        <v>100</v>
      </c>
      <c r="Q75" s="71">
        <v>1.612</v>
      </c>
      <c r="R75" s="18">
        <f t="shared" si="28"/>
        <v>17.682000000000002</v>
      </c>
      <c r="S75" s="69">
        <f t="shared" si="21"/>
        <v>4.39</v>
      </c>
      <c r="T75" s="70">
        <f t="shared" si="22"/>
        <v>150</v>
      </c>
      <c r="U75" s="18">
        <f t="shared" si="20"/>
        <v>13.292000000000002</v>
      </c>
      <c r="V75" s="45">
        <v>0</v>
      </c>
      <c r="W75" s="12">
        <f t="shared" si="23"/>
        <v>26.25</v>
      </c>
      <c r="X75" s="75">
        <f t="shared" si="24"/>
        <v>12.957999999999998</v>
      </c>
      <c r="Y75" s="76">
        <f t="shared" si="25"/>
        <v>12.957999999999998</v>
      </c>
      <c r="Z75" s="16" t="str">
        <f t="shared" si="26"/>
        <v>открыт</v>
      </c>
    </row>
    <row r="76" spans="1:26" s="88" customFormat="1" ht="11.25">
      <c r="A76" s="74">
        <v>53</v>
      </c>
      <c r="B76" s="73" t="s">
        <v>101</v>
      </c>
      <c r="C76" s="55" t="s">
        <v>219</v>
      </c>
      <c r="D76" s="55">
        <v>25.03</v>
      </c>
      <c r="E76" s="55">
        <v>5.37</v>
      </c>
      <c r="F76" s="55">
        <v>120</v>
      </c>
      <c r="G76" s="55">
        <f t="shared" si="27"/>
        <v>19.66</v>
      </c>
      <c r="H76" s="55">
        <v>19</v>
      </c>
      <c r="I76" s="55">
        <f>63*1.05</f>
        <v>66.15</v>
      </c>
      <c r="J76" s="55">
        <f t="shared" si="19"/>
        <v>27.490000000000006</v>
      </c>
      <c r="K76" s="55">
        <f t="shared" si="29"/>
        <v>27.490000000000006</v>
      </c>
      <c r="L76" s="89" t="str">
        <f t="shared" si="30"/>
        <v>открыт</v>
      </c>
      <c r="M76" s="105"/>
      <c r="N76" s="74">
        <v>54</v>
      </c>
      <c r="O76" s="73" t="s">
        <v>101</v>
      </c>
      <c r="P76" s="71" t="s">
        <v>219</v>
      </c>
      <c r="Q76" s="71">
        <v>19.118</v>
      </c>
      <c r="R76" s="71">
        <f t="shared" si="28"/>
        <v>44.147999999999996</v>
      </c>
      <c r="S76" s="69">
        <v>5.37</v>
      </c>
      <c r="T76" s="70">
        <f t="shared" si="22"/>
        <v>120</v>
      </c>
      <c r="U76" s="71">
        <f t="shared" si="20"/>
        <v>38.778</v>
      </c>
      <c r="V76" s="55">
        <v>19</v>
      </c>
      <c r="W76" s="89">
        <f t="shared" si="23"/>
        <v>66.15</v>
      </c>
      <c r="X76" s="75">
        <f t="shared" si="24"/>
        <v>8.372000000000007</v>
      </c>
      <c r="Y76" s="76">
        <f t="shared" si="25"/>
        <v>8.372000000000007</v>
      </c>
      <c r="Z76" s="92" t="str">
        <f t="shared" si="26"/>
        <v>открыт</v>
      </c>
    </row>
    <row r="77" spans="1:26" s="17" customFormat="1" ht="11.25">
      <c r="A77" s="74">
        <v>54</v>
      </c>
      <c r="B77" s="61" t="s">
        <v>102</v>
      </c>
      <c r="C77" s="45" t="s">
        <v>17</v>
      </c>
      <c r="D77" s="45">
        <v>2.08</v>
      </c>
      <c r="E77" s="45">
        <v>1.48</v>
      </c>
      <c r="F77" s="45">
        <v>60</v>
      </c>
      <c r="G77" s="45">
        <f t="shared" si="27"/>
        <v>0.6000000000000001</v>
      </c>
      <c r="H77" s="45">
        <v>0</v>
      </c>
      <c r="I77" s="19">
        <f>2.5*1.05</f>
        <v>2.625</v>
      </c>
      <c r="J77" s="19">
        <f t="shared" si="19"/>
        <v>2.025</v>
      </c>
      <c r="K77" s="19">
        <f t="shared" si="29"/>
        <v>2.025</v>
      </c>
      <c r="L77" s="12" t="str">
        <f t="shared" si="30"/>
        <v>открыт</v>
      </c>
      <c r="M77" s="94"/>
      <c r="N77" s="41">
        <v>55</v>
      </c>
      <c r="O77" s="61" t="s">
        <v>102</v>
      </c>
      <c r="P77" s="45" t="s">
        <v>17</v>
      </c>
      <c r="Q77" s="71">
        <v>0.665</v>
      </c>
      <c r="R77" s="18">
        <f t="shared" si="28"/>
        <v>2.745</v>
      </c>
      <c r="S77" s="69">
        <f t="shared" si="21"/>
        <v>1.48</v>
      </c>
      <c r="T77" s="70">
        <f t="shared" si="22"/>
        <v>60</v>
      </c>
      <c r="U77" s="18">
        <f t="shared" si="20"/>
        <v>1.2650000000000001</v>
      </c>
      <c r="V77" s="45">
        <v>0</v>
      </c>
      <c r="W77" s="12">
        <f t="shared" si="23"/>
        <v>2.625</v>
      </c>
      <c r="X77" s="75">
        <f t="shared" si="24"/>
        <v>1.3599999999999999</v>
      </c>
      <c r="Y77" s="76">
        <f t="shared" si="25"/>
        <v>1.3599999999999999</v>
      </c>
      <c r="Z77" s="16" t="str">
        <f t="shared" si="26"/>
        <v>открыт</v>
      </c>
    </row>
    <row r="78" spans="1:26" s="17" customFormat="1" ht="11.25">
      <c r="A78" s="41">
        <v>55</v>
      </c>
      <c r="B78" s="61" t="s">
        <v>103</v>
      </c>
      <c r="C78" s="45" t="s">
        <v>104</v>
      </c>
      <c r="D78" s="45">
        <v>1.16</v>
      </c>
      <c r="E78" s="45">
        <v>1.18</v>
      </c>
      <c r="F78" s="45">
        <v>30</v>
      </c>
      <c r="G78" s="45">
        <f t="shared" si="27"/>
        <v>-0.020000000000000018</v>
      </c>
      <c r="H78" s="45">
        <v>0</v>
      </c>
      <c r="I78" s="45">
        <f>1.6*1.05</f>
        <v>1.6800000000000002</v>
      </c>
      <c r="J78" s="45">
        <f t="shared" si="19"/>
        <v>1.7000000000000002</v>
      </c>
      <c r="K78" s="45">
        <f t="shared" si="29"/>
        <v>1.7000000000000002</v>
      </c>
      <c r="L78" s="12" t="str">
        <f t="shared" si="30"/>
        <v>открыт</v>
      </c>
      <c r="M78" s="94"/>
      <c r="N78" s="41">
        <v>56</v>
      </c>
      <c r="O78" s="61" t="s">
        <v>103</v>
      </c>
      <c r="P78" s="45" t="s">
        <v>104</v>
      </c>
      <c r="Q78" s="71">
        <v>0.071</v>
      </c>
      <c r="R78" s="18">
        <f t="shared" si="28"/>
        <v>1.2309999999999999</v>
      </c>
      <c r="S78" s="69">
        <f t="shared" si="21"/>
        <v>1.18</v>
      </c>
      <c r="T78" s="70">
        <f t="shared" si="22"/>
        <v>30</v>
      </c>
      <c r="U78" s="18">
        <f t="shared" si="20"/>
        <v>0.050999999999999934</v>
      </c>
      <c r="V78" s="45">
        <v>0</v>
      </c>
      <c r="W78" s="12">
        <f t="shared" si="23"/>
        <v>1.6800000000000002</v>
      </c>
      <c r="X78" s="75">
        <f t="shared" si="24"/>
        <v>1.6290000000000002</v>
      </c>
      <c r="Y78" s="76">
        <f t="shared" si="25"/>
        <v>1.6290000000000002</v>
      </c>
      <c r="Z78" s="16" t="str">
        <f t="shared" si="26"/>
        <v>открыт</v>
      </c>
    </row>
    <row r="79" spans="1:26" s="17" customFormat="1" ht="22.5">
      <c r="A79" s="41">
        <v>56</v>
      </c>
      <c r="B79" s="61" t="s">
        <v>105</v>
      </c>
      <c r="C79" s="45" t="s">
        <v>16</v>
      </c>
      <c r="D79" s="45">
        <v>5.28</v>
      </c>
      <c r="E79" s="45">
        <f>E80+E81</f>
        <v>1.44</v>
      </c>
      <c r="F79" s="45">
        <v>90</v>
      </c>
      <c r="G79" s="45">
        <f t="shared" si="27"/>
        <v>3.8400000000000003</v>
      </c>
      <c r="H79" s="45">
        <v>0</v>
      </c>
      <c r="I79" s="45">
        <f>10*1.05</f>
        <v>10.5</v>
      </c>
      <c r="J79" s="45">
        <f t="shared" si="19"/>
        <v>6.66</v>
      </c>
      <c r="K79" s="135">
        <f>MIN(J79:J81)</f>
        <v>6.66</v>
      </c>
      <c r="L79" s="136" t="str">
        <f t="shared" si="30"/>
        <v>открыт</v>
      </c>
      <c r="M79" s="94"/>
      <c r="N79" s="137">
        <v>57</v>
      </c>
      <c r="O79" s="63" t="s">
        <v>105</v>
      </c>
      <c r="P79" s="23" t="s">
        <v>16</v>
      </c>
      <c r="Q79" s="29">
        <f>Q80+Q81</f>
        <v>6.85</v>
      </c>
      <c r="R79" s="29">
        <f>R80+R81</f>
        <v>12.16</v>
      </c>
      <c r="S79" s="64">
        <f t="shared" si="21"/>
        <v>1.44</v>
      </c>
      <c r="T79" s="68">
        <f t="shared" si="22"/>
        <v>90</v>
      </c>
      <c r="U79" s="29">
        <f t="shared" si="20"/>
        <v>10.72</v>
      </c>
      <c r="V79" s="23">
        <v>0</v>
      </c>
      <c r="W79" s="28">
        <f t="shared" si="23"/>
        <v>10.5</v>
      </c>
      <c r="X79" s="53">
        <f t="shared" si="24"/>
        <v>-0.22000000000000064</v>
      </c>
      <c r="Y79" s="127">
        <f t="shared" si="25"/>
        <v>-0.22000000000000064</v>
      </c>
      <c r="Z79" s="141" t="str">
        <f t="shared" si="26"/>
        <v>закрыт</v>
      </c>
    </row>
    <row r="80" spans="1:26" s="17" customFormat="1" ht="11.25">
      <c r="A80" s="41">
        <v>57</v>
      </c>
      <c r="B80" s="61" t="s">
        <v>206</v>
      </c>
      <c r="C80" s="45" t="s">
        <v>16</v>
      </c>
      <c r="D80" s="45">
        <v>1.49</v>
      </c>
      <c r="E80" s="45">
        <v>1</v>
      </c>
      <c r="F80" s="45">
        <v>90</v>
      </c>
      <c r="G80" s="45">
        <f t="shared" si="27"/>
        <v>0.49</v>
      </c>
      <c r="H80" s="45">
        <v>0</v>
      </c>
      <c r="I80" s="45">
        <f>10*1.05</f>
        <v>10.5</v>
      </c>
      <c r="J80" s="45">
        <f t="shared" si="19"/>
        <v>10.01</v>
      </c>
      <c r="K80" s="135"/>
      <c r="L80" s="136"/>
      <c r="M80" s="94"/>
      <c r="N80" s="137"/>
      <c r="O80" s="63" t="s">
        <v>206</v>
      </c>
      <c r="P80" s="23" t="s">
        <v>16</v>
      </c>
      <c r="Q80" s="29">
        <v>0</v>
      </c>
      <c r="R80" s="29">
        <f t="shared" si="28"/>
        <v>1.49</v>
      </c>
      <c r="S80" s="64">
        <f t="shared" si="21"/>
        <v>1</v>
      </c>
      <c r="T80" s="68">
        <f t="shared" si="22"/>
        <v>90</v>
      </c>
      <c r="U80" s="29">
        <f t="shared" si="20"/>
        <v>0.49</v>
      </c>
      <c r="V80" s="23">
        <v>0</v>
      </c>
      <c r="W80" s="28">
        <f t="shared" si="23"/>
        <v>10.5</v>
      </c>
      <c r="X80" s="53">
        <f t="shared" si="24"/>
        <v>10.01</v>
      </c>
      <c r="Y80" s="128"/>
      <c r="Z80" s="142"/>
    </row>
    <row r="81" spans="1:26" s="17" customFormat="1" ht="11.25">
      <c r="A81" s="41"/>
      <c r="B81" s="61" t="s">
        <v>207</v>
      </c>
      <c r="C81" s="45" t="s">
        <v>16</v>
      </c>
      <c r="D81" s="45">
        <v>3.82</v>
      </c>
      <c r="E81" s="45">
        <v>0.44</v>
      </c>
      <c r="F81" s="45">
        <v>90</v>
      </c>
      <c r="G81" s="45">
        <f t="shared" si="27"/>
        <v>3.38</v>
      </c>
      <c r="H81" s="45">
        <v>0</v>
      </c>
      <c r="I81" s="45">
        <f>10*1.05</f>
        <v>10.5</v>
      </c>
      <c r="J81" s="45">
        <f t="shared" si="19"/>
        <v>7.12</v>
      </c>
      <c r="K81" s="135"/>
      <c r="L81" s="136"/>
      <c r="M81" s="94"/>
      <c r="N81" s="137"/>
      <c r="O81" s="63" t="s">
        <v>207</v>
      </c>
      <c r="P81" s="23" t="s">
        <v>16</v>
      </c>
      <c r="Q81" s="29">
        <v>6.85</v>
      </c>
      <c r="R81" s="29">
        <f t="shared" si="28"/>
        <v>10.67</v>
      </c>
      <c r="S81" s="64">
        <f t="shared" si="21"/>
        <v>0.44</v>
      </c>
      <c r="T81" s="68">
        <f t="shared" si="22"/>
        <v>90</v>
      </c>
      <c r="U81" s="29">
        <f t="shared" si="20"/>
        <v>10.23</v>
      </c>
      <c r="V81" s="23">
        <v>0</v>
      </c>
      <c r="W81" s="28">
        <f t="shared" si="23"/>
        <v>10.5</v>
      </c>
      <c r="X81" s="53">
        <f t="shared" si="24"/>
        <v>0.2699999999999996</v>
      </c>
      <c r="Y81" s="129"/>
      <c r="Z81" s="143"/>
    </row>
    <row r="82" spans="1:26" s="17" customFormat="1" ht="11.25">
      <c r="A82" s="41"/>
      <c r="B82" s="61" t="s">
        <v>106</v>
      </c>
      <c r="C82" s="45" t="s">
        <v>21</v>
      </c>
      <c r="D82" s="45">
        <v>8.63</v>
      </c>
      <c r="E82" s="45">
        <f>E83+E84</f>
        <v>6.83</v>
      </c>
      <c r="F82" s="45">
        <v>45</v>
      </c>
      <c r="G82" s="45">
        <f t="shared" si="27"/>
        <v>1.8000000000000007</v>
      </c>
      <c r="H82" s="45">
        <v>0</v>
      </c>
      <c r="I82" s="45">
        <f>16*1.05</f>
        <v>16.8</v>
      </c>
      <c r="J82" s="45">
        <f t="shared" si="19"/>
        <v>15</v>
      </c>
      <c r="K82" s="135">
        <f>MIN(J82:J84)</f>
        <v>14.420000000000002</v>
      </c>
      <c r="L82" s="136" t="str">
        <f>IF(K82&lt;0,"закрыт","открыт")</f>
        <v>открыт</v>
      </c>
      <c r="M82" s="94"/>
      <c r="N82" s="150">
        <v>58</v>
      </c>
      <c r="O82" s="61" t="s">
        <v>106</v>
      </c>
      <c r="P82" s="45" t="s">
        <v>21</v>
      </c>
      <c r="Q82" s="18">
        <f>Q84+Q83</f>
        <v>6.6739999999999995</v>
      </c>
      <c r="R82" s="18">
        <f>R83+R84</f>
        <v>15.884</v>
      </c>
      <c r="S82" s="69">
        <f t="shared" si="21"/>
        <v>6.83</v>
      </c>
      <c r="T82" s="70">
        <f t="shared" si="22"/>
        <v>45</v>
      </c>
      <c r="U82" s="18">
        <f t="shared" si="20"/>
        <v>9.054</v>
      </c>
      <c r="V82" s="45">
        <v>0</v>
      </c>
      <c r="W82" s="12">
        <f t="shared" si="23"/>
        <v>16.8</v>
      </c>
      <c r="X82" s="75">
        <f t="shared" si="24"/>
        <v>7.746</v>
      </c>
      <c r="Y82" s="140">
        <f>X82</f>
        <v>7.746</v>
      </c>
      <c r="Z82" s="152" t="str">
        <f>IF(Y82&lt;0,"закрыт","открыт")</f>
        <v>открыт</v>
      </c>
    </row>
    <row r="83" spans="1:26" s="88" customFormat="1" ht="11.25">
      <c r="A83" s="41">
        <v>58</v>
      </c>
      <c r="B83" s="73" t="s">
        <v>206</v>
      </c>
      <c r="C83" s="55" t="s">
        <v>21</v>
      </c>
      <c r="D83" s="45">
        <v>5</v>
      </c>
      <c r="E83" s="55">
        <v>5</v>
      </c>
      <c r="F83" s="55">
        <v>45</v>
      </c>
      <c r="G83" s="55">
        <f t="shared" si="27"/>
        <v>0</v>
      </c>
      <c r="H83" s="55">
        <v>0</v>
      </c>
      <c r="I83" s="55">
        <f>16*1.05</f>
        <v>16.8</v>
      </c>
      <c r="J83" s="55">
        <f t="shared" si="19"/>
        <v>16.8</v>
      </c>
      <c r="K83" s="135"/>
      <c r="L83" s="136"/>
      <c r="M83" s="94"/>
      <c r="N83" s="150"/>
      <c r="O83" s="73" t="s">
        <v>206</v>
      </c>
      <c r="P83" s="55" t="s">
        <v>21</v>
      </c>
      <c r="Q83" s="106">
        <f>Q107+Q99+Q110+Q87+Q89+Q8+Q62</f>
        <v>6.085</v>
      </c>
      <c r="R83" s="71">
        <f t="shared" si="28"/>
        <v>11.085</v>
      </c>
      <c r="S83" s="69">
        <f t="shared" si="21"/>
        <v>5</v>
      </c>
      <c r="T83" s="70">
        <f t="shared" si="22"/>
        <v>45</v>
      </c>
      <c r="U83" s="71">
        <f t="shared" si="20"/>
        <v>6.085000000000001</v>
      </c>
      <c r="V83" s="55">
        <v>0</v>
      </c>
      <c r="W83" s="89">
        <f t="shared" si="23"/>
        <v>16.8</v>
      </c>
      <c r="X83" s="75">
        <f t="shared" si="24"/>
        <v>10.715</v>
      </c>
      <c r="Y83" s="125"/>
      <c r="Z83" s="138"/>
    </row>
    <row r="84" spans="1:26" s="17" customFormat="1" ht="11.25">
      <c r="A84" s="41"/>
      <c r="B84" s="61" t="s">
        <v>207</v>
      </c>
      <c r="C84" s="45" t="s">
        <v>21</v>
      </c>
      <c r="D84" s="45">
        <v>4.21</v>
      </c>
      <c r="E84" s="45">
        <v>1.83</v>
      </c>
      <c r="F84" s="45">
        <v>45</v>
      </c>
      <c r="G84" s="45">
        <f t="shared" si="27"/>
        <v>2.38</v>
      </c>
      <c r="H84" s="45">
        <v>0</v>
      </c>
      <c r="I84" s="45">
        <f>16*1.05</f>
        <v>16.8</v>
      </c>
      <c r="J84" s="45">
        <f t="shared" si="19"/>
        <v>14.420000000000002</v>
      </c>
      <c r="K84" s="135"/>
      <c r="L84" s="136"/>
      <c r="M84" s="94"/>
      <c r="N84" s="150"/>
      <c r="O84" s="61" t="s">
        <v>207</v>
      </c>
      <c r="P84" s="45" t="s">
        <v>21</v>
      </c>
      <c r="Q84" s="18">
        <v>0.589</v>
      </c>
      <c r="R84" s="18">
        <f t="shared" si="28"/>
        <v>4.7989999999999995</v>
      </c>
      <c r="S84" s="69">
        <f t="shared" si="21"/>
        <v>1.83</v>
      </c>
      <c r="T84" s="70">
        <f t="shared" si="22"/>
        <v>45</v>
      </c>
      <c r="U84" s="18">
        <f t="shared" si="20"/>
        <v>2.9689999999999994</v>
      </c>
      <c r="V84" s="45">
        <v>0</v>
      </c>
      <c r="W84" s="12">
        <f t="shared" si="23"/>
        <v>16.8</v>
      </c>
      <c r="X84" s="75">
        <f t="shared" si="24"/>
        <v>13.831000000000001</v>
      </c>
      <c r="Y84" s="126"/>
      <c r="Z84" s="139"/>
    </row>
    <row r="85" spans="1:26" s="17" customFormat="1" ht="22.5">
      <c r="A85" s="41"/>
      <c r="B85" s="61" t="s">
        <v>107</v>
      </c>
      <c r="C85" s="45" t="s">
        <v>17</v>
      </c>
      <c r="D85" s="45">
        <v>1.16</v>
      </c>
      <c r="E85" s="45">
        <v>0.95</v>
      </c>
      <c r="F85" s="45">
        <v>30</v>
      </c>
      <c r="G85" s="45">
        <f t="shared" si="27"/>
        <v>0.20999999999999996</v>
      </c>
      <c r="H85" s="45">
        <v>0</v>
      </c>
      <c r="I85" s="19">
        <f>2.5*1.05</f>
        <v>2.625</v>
      </c>
      <c r="J85" s="19">
        <f t="shared" si="19"/>
        <v>2.415</v>
      </c>
      <c r="K85" s="19">
        <f aca="true" t="shared" si="31" ref="K85:K91">J85</f>
        <v>2.415</v>
      </c>
      <c r="L85" s="12" t="str">
        <f aca="true" t="shared" si="32" ref="L85:L91">IF(K85&lt;0,"закрыт","открыт")</f>
        <v>открыт</v>
      </c>
      <c r="M85" s="94"/>
      <c r="N85" s="41">
        <v>59</v>
      </c>
      <c r="O85" s="61" t="s">
        <v>107</v>
      </c>
      <c r="P85" s="45" t="s">
        <v>17</v>
      </c>
      <c r="Q85" s="18">
        <v>0.019</v>
      </c>
      <c r="R85" s="18">
        <f t="shared" si="28"/>
        <v>1.1789999999999998</v>
      </c>
      <c r="S85" s="69">
        <f t="shared" si="21"/>
        <v>0.95</v>
      </c>
      <c r="T85" s="70">
        <f t="shared" si="22"/>
        <v>30</v>
      </c>
      <c r="U85" s="18">
        <f t="shared" si="20"/>
        <v>0.22899999999999987</v>
      </c>
      <c r="V85" s="45">
        <v>0</v>
      </c>
      <c r="W85" s="12">
        <f t="shared" si="23"/>
        <v>2.625</v>
      </c>
      <c r="X85" s="75">
        <f t="shared" si="24"/>
        <v>2.396</v>
      </c>
      <c r="Y85" s="76">
        <f t="shared" si="25"/>
        <v>2.396</v>
      </c>
      <c r="Z85" s="16" t="str">
        <f t="shared" si="26"/>
        <v>открыт</v>
      </c>
    </row>
    <row r="86" spans="1:26" s="17" customFormat="1" ht="11.25">
      <c r="A86" s="41">
        <v>59</v>
      </c>
      <c r="B86" s="61" t="s">
        <v>108</v>
      </c>
      <c r="C86" s="45" t="s">
        <v>109</v>
      </c>
      <c r="D86" s="45">
        <v>0.83</v>
      </c>
      <c r="E86" s="45">
        <v>0</v>
      </c>
      <c r="F86" s="45" t="s">
        <v>209</v>
      </c>
      <c r="G86" s="45">
        <f t="shared" si="27"/>
        <v>0.83</v>
      </c>
      <c r="H86" s="45">
        <v>0</v>
      </c>
      <c r="I86" s="45">
        <f>1.6*1.05</f>
        <v>1.6800000000000002</v>
      </c>
      <c r="J86" s="45">
        <f t="shared" si="19"/>
        <v>0.8500000000000002</v>
      </c>
      <c r="K86" s="45">
        <f t="shared" si="31"/>
        <v>0.8500000000000002</v>
      </c>
      <c r="L86" s="12" t="str">
        <f t="shared" si="32"/>
        <v>открыт</v>
      </c>
      <c r="M86" s="94"/>
      <c r="N86" s="41">
        <v>60</v>
      </c>
      <c r="O86" s="61" t="s">
        <v>108</v>
      </c>
      <c r="P86" s="45" t="s">
        <v>109</v>
      </c>
      <c r="Q86" s="71">
        <v>0.012</v>
      </c>
      <c r="R86" s="18">
        <f t="shared" si="28"/>
        <v>0.842</v>
      </c>
      <c r="S86" s="69">
        <f t="shared" si="21"/>
        <v>0</v>
      </c>
      <c r="T86" s="70"/>
      <c r="U86" s="18">
        <f t="shared" si="20"/>
        <v>0.842</v>
      </c>
      <c r="V86" s="45">
        <v>0</v>
      </c>
      <c r="W86" s="12">
        <f t="shared" si="23"/>
        <v>1.6800000000000002</v>
      </c>
      <c r="X86" s="75">
        <f t="shared" si="24"/>
        <v>0.8380000000000002</v>
      </c>
      <c r="Y86" s="76">
        <f t="shared" si="25"/>
        <v>0.8380000000000002</v>
      </c>
      <c r="Z86" s="16" t="str">
        <f t="shared" si="26"/>
        <v>открыт</v>
      </c>
    </row>
    <row r="87" spans="1:26" s="17" customFormat="1" ht="11.25">
      <c r="A87" s="41">
        <v>60</v>
      </c>
      <c r="B87" s="61" t="s">
        <v>110</v>
      </c>
      <c r="C87" s="45" t="s">
        <v>19</v>
      </c>
      <c r="D87" s="45">
        <v>0.27</v>
      </c>
      <c r="E87" s="45">
        <v>0.83</v>
      </c>
      <c r="F87" s="45">
        <v>30</v>
      </c>
      <c r="G87" s="45">
        <f t="shared" si="27"/>
        <v>-0.5599999999999999</v>
      </c>
      <c r="H87" s="45">
        <v>0</v>
      </c>
      <c r="I87" s="45">
        <f>1.6*1.05</f>
        <v>1.6800000000000002</v>
      </c>
      <c r="J87" s="45">
        <f t="shared" si="19"/>
        <v>2.24</v>
      </c>
      <c r="K87" s="45">
        <f t="shared" si="31"/>
        <v>2.24</v>
      </c>
      <c r="L87" s="12" t="str">
        <f t="shared" si="32"/>
        <v>открыт</v>
      </c>
      <c r="M87" s="94"/>
      <c r="N87" s="24">
        <v>61</v>
      </c>
      <c r="O87" s="63" t="s">
        <v>110</v>
      </c>
      <c r="P87" s="23" t="s">
        <v>19</v>
      </c>
      <c r="Q87" s="29">
        <v>5.893</v>
      </c>
      <c r="R87" s="29">
        <f t="shared" si="28"/>
        <v>6.163</v>
      </c>
      <c r="S87" s="64">
        <f t="shared" si="21"/>
        <v>0.83</v>
      </c>
      <c r="T87" s="68">
        <f t="shared" si="22"/>
        <v>30</v>
      </c>
      <c r="U87" s="29">
        <f t="shared" si="20"/>
        <v>5.333</v>
      </c>
      <c r="V87" s="23">
        <v>0</v>
      </c>
      <c r="W87" s="64">
        <f t="shared" si="23"/>
        <v>1.6800000000000002</v>
      </c>
      <c r="X87" s="53">
        <f t="shared" si="24"/>
        <v>-3.653</v>
      </c>
      <c r="Y87" s="30">
        <f t="shared" si="25"/>
        <v>-3.653</v>
      </c>
      <c r="Z87" s="65" t="str">
        <f t="shared" si="26"/>
        <v>закрыт</v>
      </c>
    </row>
    <row r="88" spans="1:26" s="17" customFormat="1" ht="11.25">
      <c r="A88" s="41">
        <v>61</v>
      </c>
      <c r="B88" s="61" t="s">
        <v>111</v>
      </c>
      <c r="C88" s="45" t="s">
        <v>17</v>
      </c>
      <c r="D88" s="45">
        <v>0.6</v>
      </c>
      <c r="E88" s="45">
        <v>1.59</v>
      </c>
      <c r="F88" s="45">
        <v>30</v>
      </c>
      <c r="G88" s="45">
        <f t="shared" si="27"/>
        <v>-0.9900000000000001</v>
      </c>
      <c r="H88" s="45">
        <v>0</v>
      </c>
      <c r="I88" s="19">
        <f>2.5*1.05</f>
        <v>2.625</v>
      </c>
      <c r="J88" s="19">
        <f t="shared" si="19"/>
        <v>3.615</v>
      </c>
      <c r="K88" s="19">
        <f t="shared" si="31"/>
        <v>3.615</v>
      </c>
      <c r="L88" s="12" t="str">
        <f t="shared" si="32"/>
        <v>открыт</v>
      </c>
      <c r="M88" s="94"/>
      <c r="N88" s="41">
        <v>62</v>
      </c>
      <c r="O88" s="61" t="s">
        <v>111</v>
      </c>
      <c r="P88" s="45" t="s">
        <v>17</v>
      </c>
      <c r="Q88" s="71">
        <v>0.077</v>
      </c>
      <c r="R88" s="18">
        <f t="shared" si="28"/>
        <v>0.6769999999999999</v>
      </c>
      <c r="S88" s="69">
        <f t="shared" si="21"/>
        <v>1.59</v>
      </c>
      <c r="T88" s="70">
        <f t="shared" si="22"/>
        <v>30</v>
      </c>
      <c r="U88" s="18">
        <f t="shared" si="20"/>
        <v>-0.9130000000000001</v>
      </c>
      <c r="V88" s="45">
        <v>0</v>
      </c>
      <c r="W88" s="69">
        <f t="shared" si="23"/>
        <v>2.625</v>
      </c>
      <c r="X88" s="75">
        <f t="shared" si="24"/>
        <v>3.5380000000000003</v>
      </c>
      <c r="Y88" s="76">
        <f t="shared" si="25"/>
        <v>3.5380000000000003</v>
      </c>
      <c r="Z88" s="16" t="str">
        <f t="shared" si="26"/>
        <v>открыт</v>
      </c>
    </row>
    <row r="89" spans="1:26" s="17" customFormat="1" ht="11.25">
      <c r="A89" s="41">
        <v>62</v>
      </c>
      <c r="B89" s="61" t="s">
        <v>112</v>
      </c>
      <c r="C89" s="45" t="s">
        <v>24</v>
      </c>
      <c r="D89" s="45">
        <v>0.43</v>
      </c>
      <c r="E89" s="45">
        <v>0.47</v>
      </c>
      <c r="F89" s="45">
        <v>60</v>
      </c>
      <c r="G89" s="45">
        <f t="shared" si="27"/>
        <v>-0.03999999999999998</v>
      </c>
      <c r="H89" s="45">
        <v>0</v>
      </c>
      <c r="I89" s="45">
        <f>1*1.05</f>
        <v>1.05</v>
      </c>
      <c r="J89" s="45">
        <f t="shared" si="19"/>
        <v>1.09</v>
      </c>
      <c r="K89" s="45">
        <f t="shared" si="31"/>
        <v>1.09</v>
      </c>
      <c r="L89" s="12" t="str">
        <f t="shared" si="32"/>
        <v>открыт</v>
      </c>
      <c r="M89" s="94"/>
      <c r="N89" s="41">
        <v>63</v>
      </c>
      <c r="O89" s="61" t="s">
        <v>112</v>
      </c>
      <c r="P89" s="45" t="s">
        <v>24</v>
      </c>
      <c r="Q89" s="71">
        <v>0.014</v>
      </c>
      <c r="R89" s="18">
        <f t="shared" si="28"/>
        <v>0.444</v>
      </c>
      <c r="S89" s="69">
        <f t="shared" si="21"/>
        <v>0.47</v>
      </c>
      <c r="T89" s="70">
        <f t="shared" si="22"/>
        <v>60</v>
      </c>
      <c r="U89" s="18">
        <f t="shared" si="20"/>
        <v>-0.025999999999999968</v>
      </c>
      <c r="V89" s="45">
        <v>0</v>
      </c>
      <c r="W89" s="69">
        <f t="shared" si="23"/>
        <v>1.05</v>
      </c>
      <c r="X89" s="75">
        <f t="shared" si="24"/>
        <v>1.076</v>
      </c>
      <c r="Y89" s="76">
        <f t="shared" si="25"/>
        <v>1.076</v>
      </c>
      <c r="Z89" s="16" t="str">
        <f t="shared" si="26"/>
        <v>открыт</v>
      </c>
    </row>
    <row r="90" spans="1:26" s="17" customFormat="1" ht="11.25">
      <c r="A90" s="41">
        <v>63</v>
      </c>
      <c r="B90" s="61" t="s">
        <v>113</v>
      </c>
      <c r="C90" s="45" t="s">
        <v>114</v>
      </c>
      <c r="D90" s="45">
        <v>0.42</v>
      </c>
      <c r="E90" s="45">
        <v>0.99</v>
      </c>
      <c r="F90" s="45">
        <v>90</v>
      </c>
      <c r="G90" s="45">
        <f t="shared" si="27"/>
        <v>-0.5700000000000001</v>
      </c>
      <c r="H90" s="45">
        <v>0</v>
      </c>
      <c r="I90" s="45">
        <f>1.8*1.05</f>
        <v>1.8900000000000001</v>
      </c>
      <c r="J90" s="45">
        <f t="shared" si="19"/>
        <v>2.46</v>
      </c>
      <c r="K90" s="45">
        <f t="shared" si="31"/>
        <v>2.46</v>
      </c>
      <c r="L90" s="12" t="str">
        <f t="shared" si="32"/>
        <v>открыт</v>
      </c>
      <c r="M90" s="94"/>
      <c r="N90" s="41">
        <v>64</v>
      </c>
      <c r="O90" s="61" t="s">
        <v>113</v>
      </c>
      <c r="P90" s="45" t="s">
        <v>114</v>
      </c>
      <c r="Q90" s="71">
        <v>0.012</v>
      </c>
      <c r="R90" s="18">
        <f t="shared" si="28"/>
        <v>0.432</v>
      </c>
      <c r="S90" s="69">
        <f t="shared" si="21"/>
        <v>0.99</v>
      </c>
      <c r="T90" s="70">
        <f t="shared" si="22"/>
        <v>90</v>
      </c>
      <c r="U90" s="18">
        <f t="shared" si="20"/>
        <v>-0.558</v>
      </c>
      <c r="V90" s="45">
        <v>0</v>
      </c>
      <c r="W90" s="69">
        <f t="shared" si="23"/>
        <v>1.8900000000000001</v>
      </c>
      <c r="X90" s="75">
        <f t="shared" si="24"/>
        <v>2.4480000000000004</v>
      </c>
      <c r="Y90" s="76">
        <f t="shared" si="25"/>
        <v>2.4480000000000004</v>
      </c>
      <c r="Z90" s="16" t="str">
        <f t="shared" si="26"/>
        <v>открыт</v>
      </c>
    </row>
    <row r="91" spans="1:26" s="17" customFormat="1" ht="22.5">
      <c r="A91" s="41">
        <v>64</v>
      </c>
      <c r="B91" s="61" t="s">
        <v>115</v>
      </c>
      <c r="C91" s="45" t="s">
        <v>116</v>
      </c>
      <c r="D91" s="45">
        <v>0.54</v>
      </c>
      <c r="E91" s="45">
        <v>1.7</v>
      </c>
      <c r="F91" s="45">
        <v>30</v>
      </c>
      <c r="G91" s="45">
        <f t="shared" si="27"/>
        <v>-1.16</v>
      </c>
      <c r="H91" s="45">
        <v>0</v>
      </c>
      <c r="I91" s="45">
        <f>5.6*1.05</f>
        <v>5.88</v>
      </c>
      <c r="J91" s="45">
        <f t="shared" si="19"/>
        <v>7.04</v>
      </c>
      <c r="K91" s="45">
        <f t="shared" si="31"/>
        <v>7.04</v>
      </c>
      <c r="L91" s="12" t="str">
        <f t="shared" si="32"/>
        <v>открыт</v>
      </c>
      <c r="M91" s="94"/>
      <c r="N91" s="41">
        <v>65</v>
      </c>
      <c r="O91" s="61" t="s">
        <v>215</v>
      </c>
      <c r="P91" s="45" t="s">
        <v>116</v>
      </c>
      <c r="Q91" s="71">
        <v>0.353</v>
      </c>
      <c r="R91" s="18">
        <f t="shared" si="28"/>
        <v>0.893</v>
      </c>
      <c r="S91" s="69">
        <f t="shared" si="21"/>
        <v>1.7</v>
      </c>
      <c r="T91" s="70">
        <f t="shared" si="22"/>
        <v>30</v>
      </c>
      <c r="U91" s="18">
        <f t="shared" si="20"/>
        <v>-0.8069999999999999</v>
      </c>
      <c r="V91" s="45">
        <v>0</v>
      </c>
      <c r="W91" s="69">
        <f t="shared" si="23"/>
        <v>5.88</v>
      </c>
      <c r="X91" s="75">
        <f t="shared" si="24"/>
        <v>6.686999999999999</v>
      </c>
      <c r="Y91" s="76">
        <f t="shared" si="25"/>
        <v>6.686999999999999</v>
      </c>
      <c r="Z91" s="16" t="str">
        <f t="shared" si="26"/>
        <v>открыт</v>
      </c>
    </row>
    <row r="92" spans="1:26" s="17" customFormat="1" ht="22.5">
      <c r="A92" s="41">
        <v>65</v>
      </c>
      <c r="B92" s="61" t="s">
        <v>117</v>
      </c>
      <c r="C92" s="45" t="s">
        <v>16</v>
      </c>
      <c r="D92" s="45">
        <v>7.38</v>
      </c>
      <c r="E92" s="45">
        <f>E93+E94</f>
        <v>1.4100000000000001</v>
      </c>
      <c r="F92" s="45">
        <v>90</v>
      </c>
      <c r="G92" s="45">
        <f t="shared" si="27"/>
        <v>5.97</v>
      </c>
      <c r="H92" s="45">
        <v>0</v>
      </c>
      <c r="I92" s="45">
        <f>10*1.05</f>
        <v>10.5</v>
      </c>
      <c r="J92" s="45">
        <f t="shared" si="19"/>
        <v>4.53</v>
      </c>
      <c r="K92" s="135">
        <f>MIN(J92:J94)</f>
        <v>4.53</v>
      </c>
      <c r="L92" s="136" t="str">
        <f>IF(K92&lt;0,"закрыт","открыт")</f>
        <v>открыт</v>
      </c>
      <c r="M92" s="94"/>
      <c r="N92" s="150">
        <v>66</v>
      </c>
      <c r="O92" s="61" t="s">
        <v>117</v>
      </c>
      <c r="P92" s="45" t="s">
        <v>16</v>
      </c>
      <c r="Q92" s="71">
        <f>Q94+Q93</f>
        <v>1.383</v>
      </c>
      <c r="R92" s="18">
        <f>R93+R94</f>
        <v>8.773</v>
      </c>
      <c r="S92" s="69">
        <f t="shared" si="21"/>
        <v>1.4100000000000001</v>
      </c>
      <c r="T92" s="70">
        <f t="shared" si="22"/>
        <v>90</v>
      </c>
      <c r="U92" s="18">
        <f t="shared" si="20"/>
        <v>7.3629999999999995</v>
      </c>
      <c r="V92" s="45">
        <v>0</v>
      </c>
      <c r="W92" s="69">
        <f t="shared" si="23"/>
        <v>10.5</v>
      </c>
      <c r="X92" s="75">
        <f t="shared" si="24"/>
        <v>3.1370000000000005</v>
      </c>
      <c r="Y92" s="140">
        <f>X92</f>
        <v>3.1370000000000005</v>
      </c>
      <c r="Z92" s="152" t="str">
        <f>IF(Y92&lt;0,"закрыт","открыт")</f>
        <v>открыт</v>
      </c>
    </row>
    <row r="93" spans="1:26" s="88" customFormat="1" ht="11.25">
      <c r="A93" s="41">
        <v>66</v>
      </c>
      <c r="B93" s="73" t="s">
        <v>206</v>
      </c>
      <c r="C93" s="55" t="s">
        <v>16</v>
      </c>
      <c r="D93" s="45">
        <v>1.3</v>
      </c>
      <c r="E93" s="55">
        <v>0.86</v>
      </c>
      <c r="F93" s="55">
        <v>90</v>
      </c>
      <c r="G93" s="55">
        <f t="shared" si="27"/>
        <v>0.44000000000000006</v>
      </c>
      <c r="H93" s="55">
        <v>0</v>
      </c>
      <c r="I93" s="55">
        <f>10*1.05</f>
        <v>10.5</v>
      </c>
      <c r="J93" s="55">
        <f t="shared" si="19"/>
        <v>10.06</v>
      </c>
      <c r="K93" s="135"/>
      <c r="L93" s="136"/>
      <c r="M93" s="94"/>
      <c r="N93" s="150"/>
      <c r="O93" s="73" t="s">
        <v>206</v>
      </c>
      <c r="P93" s="55" t="s">
        <v>16</v>
      </c>
      <c r="Q93" s="102">
        <f>Q6+Q112+Q61</f>
        <v>0.21300000000000002</v>
      </c>
      <c r="R93" s="71">
        <f t="shared" si="28"/>
        <v>1.5130000000000001</v>
      </c>
      <c r="S93" s="69">
        <f t="shared" si="21"/>
        <v>0.86</v>
      </c>
      <c r="T93" s="70">
        <f t="shared" si="22"/>
        <v>90</v>
      </c>
      <c r="U93" s="71">
        <f t="shared" si="20"/>
        <v>0.6530000000000001</v>
      </c>
      <c r="V93" s="55">
        <v>0</v>
      </c>
      <c r="W93" s="69">
        <f t="shared" si="23"/>
        <v>10.5</v>
      </c>
      <c r="X93" s="75">
        <f t="shared" si="24"/>
        <v>9.847</v>
      </c>
      <c r="Y93" s="125"/>
      <c r="Z93" s="138"/>
    </row>
    <row r="94" spans="1:26" s="17" customFormat="1" ht="11.25">
      <c r="A94" s="41"/>
      <c r="B94" s="61" t="s">
        <v>207</v>
      </c>
      <c r="C94" s="45" t="s">
        <v>16</v>
      </c>
      <c r="D94" s="45">
        <v>6.09</v>
      </c>
      <c r="E94" s="45">
        <v>0.55</v>
      </c>
      <c r="F94" s="45">
        <v>90</v>
      </c>
      <c r="G94" s="45">
        <f t="shared" si="27"/>
        <v>5.54</v>
      </c>
      <c r="H94" s="45">
        <v>0</v>
      </c>
      <c r="I94" s="45">
        <f>10*1.05</f>
        <v>10.5</v>
      </c>
      <c r="J94" s="45">
        <f t="shared" si="19"/>
        <v>4.96</v>
      </c>
      <c r="K94" s="135"/>
      <c r="L94" s="136"/>
      <c r="M94" s="94"/>
      <c r="N94" s="150"/>
      <c r="O94" s="61" t="s">
        <v>207</v>
      </c>
      <c r="P94" s="45" t="s">
        <v>16</v>
      </c>
      <c r="Q94" s="71">
        <v>1.17</v>
      </c>
      <c r="R94" s="18">
        <f t="shared" si="28"/>
        <v>7.26</v>
      </c>
      <c r="S94" s="69">
        <f t="shared" si="21"/>
        <v>0.55</v>
      </c>
      <c r="T94" s="70">
        <f t="shared" si="22"/>
        <v>90</v>
      </c>
      <c r="U94" s="18">
        <f t="shared" si="20"/>
        <v>6.71</v>
      </c>
      <c r="V94" s="45">
        <v>0</v>
      </c>
      <c r="W94" s="69">
        <f t="shared" si="23"/>
        <v>10.5</v>
      </c>
      <c r="X94" s="75">
        <f t="shared" si="24"/>
        <v>3.79</v>
      </c>
      <c r="Y94" s="126"/>
      <c r="Z94" s="139"/>
    </row>
    <row r="95" spans="1:26" s="88" customFormat="1" ht="22.5">
      <c r="A95" s="41"/>
      <c r="B95" s="73" t="s">
        <v>118</v>
      </c>
      <c r="C95" s="55" t="s">
        <v>119</v>
      </c>
      <c r="D95" s="45">
        <v>0.58</v>
      </c>
      <c r="E95" s="55">
        <v>1.63</v>
      </c>
      <c r="F95" s="55">
        <v>45</v>
      </c>
      <c r="G95" s="55">
        <f t="shared" si="27"/>
        <v>-1.0499999999999998</v>
      </c>
      <c r="H95" s="55">
        <v>0</v>
      </c>
      <c r="I95" s="69">
        <f>2.5*1.05</f>
        <v>2.625</v>
      </c>
      <c r="J95" s="69">
        <f t="shared" si="19"/>
        <v>3.675</v>
      </c>
      <c r="K95" s="69">
        <f>J95</f>
        <v>3.675</v>
      </c>
      <c r="L95" s="89" t="str">
        <f aca="true" t="shared" si="33" ref="L95:L100">IF(K95&lt;0,"закрыт","открыт")</f>
        <v>открыт</v>
      </c>
      <c r="M95" s="94"/>
      <c r="N95" s="74">
        <v>67</v>
      </c>
      <c r="O95" s="73" t="s">
        <v>118</v>
      </c>
      <c r="P95" s="55" t="s">
        <v>119</v>
      </c>
      <c r="Q95" s="71">
        <v>0.021</v>
      </c>
      <c r="R95" s="71">
        <f t="shared" si="28"/>
        <v>0.601</v>
      </c>
      <c r="S95" s="69">
        <f t="shared" si="21"/>
        <v>1.63</v>
      </c>
      <c r="T95" s="70">
        <f t="shared" si="22"/>
        <v>45</v>
      </c>
      <c r="U95" s="71">
        <f t="shared" si="20"/>
        <v>-1.029</v>
      </c>
      <c r="V95" s="55">
        <v>0</v>
      </c>
      <c r="W95" s="69">
        <f t="shared" si="23"/>
        <v>2.625</v>
      </c>
      <c r="X95" s="75">
        <f t="shared" si="24"/>
        <v>3.654</v>
      </c>
      <c r="Y95" s="76">
        <f t="shared" si="25"/>
        <v>3.654</v>
      </c>
      <c r="Z95" s="92" t="str">
        <f t="shared" si="26"/>
        <v>открыт</v>
      </c>
    </row>
    <row r="96" spans="1:26" s="17" customFormat="1" ht="22.5">
      <c r="A96" s="74">
        <v>67</v>
      </c>
      <c r="B96" s="61" t="s">
        <v>120</v>
      </c>
      <c r="C96" s="45" t="s">
        <v>25</v>
      </c>
      <c r="D96" s="45">
        <v>0.45</v>
      </c>
      <c r="E96" s="45">
        <v>0.73</v>
      </c>
      <c r="F96" s="45">
        <v>60</v>
      </c>
      <c r="G96" s="45">
        <f t="shared" si="27"/>
        <v>-0.27999999999999997</v>
      </c>
      <c r="H96" s="45">
        <v>0</v>
      </c>
      <c r="I96" s="45">
        <f>1.6*1.05</f>
        <v>1.6800000000000002</v>
      </c>
      <c r="J96" s="45">
        <f t="shared" si="19"/>
        <v>1.9600000000000002</v>
      </c>
      <c r="K96" s="45">
        <f>J96</f>
        <v>1.9600000000000002</v>
      </c>
      <c r="L96" s="12" t="str">
        <f t="shared" si="33"/>
        <v>открыт</v>
      </c>
      <c r="M96" s="94"/>
      <c r="N96" s="41">
        <v>68</v>
      </c>
      <c r="O96" s="61" t="s">
        <v>120</v>
      </c>
      <c r="P96" s="45" t="s">
        <v>25</v>
      </c>
      <c r="Q96" s="71">
        <v>0.039</v>
      </c>
      <c r="R96" s="18">
        <f t="shared" si="28"/>
        <v>0.489</v>
      </c>
      <c r="S96" s="69">
        <f t="shared" si="21"/>
        <v>0.73</v>
      </c>
      <c r="T96" s="70">
        <f t="shared" si="22"/>
        <v>60</v>
      </c>
      <c r="U96" s="18">
        <f t="shared" si="20"/>
        <v>-0.241</v>
      </c>
      <c r="V96" s="45">
        <v>0</v>
      </c>
      <c r="W96" s="69">
        <f t="shared" si="23"/>
        <v>1.6800000000000002</v>
      </c>
      <c r="X96" s="75">
        <f t="shared" si="24"/>
        <v>1.9210000000000003</v>
      </c>
      <c r="Y96" s="76">
        <f t="shared" si="25"/>
        <v>1.9210000000000003</v>
      </c>
      <c r="Z96" s="16" t="str">
        <f t="shared" si="26"/>
        <v>открыт</v>
      </c>
    </row>
    <row r="97" spans="1:26" s="88" customFormat="1" ht="11.25">
      <c r="A97" s="41">
        <v>68</v>
      </c>
      <c r="B97" s="73" t="s">
        <v>121</v>
      </c>
      <c r="C97" s="55" t="s">
        <v>17</v>
      </c>
      <c r="D97" s="45">
        <v>0.82</v>
      </c>
      <c r="E97" s="55">
        <v>1.53</v>
      </c>
      <c r="F97" s="55">
        <v>90</v>
      </c>
      <c r="G97" s="55">
        <f t="shared" si="27"/>
        <v>-0.7100000000000001</v>
      </c>
      <c r="H97" s="55">
        <v>0</v>
      </c>
      <c r="I97" s="69">
        <f>2.5*1.05</f>
        <v>2.625</v>
      </c>
      <c r="J97" s="69">
        <f t="shared" si="19"/>
        <v>3.335</v>
      </c>
      <c r="K97" s="69">
        <f>J97</f>
        <v>3.335</v>
      </c>
      <c r="L97" s="89" t="str">
        <f t="shared" si="33"/>
        <v>открыт</v>
      </c>
      <c r="M97" s="94"/>
      <c r="N97" s="74">
        <v>69</v>
      </c>
      <c r="O97" s="73" t="s">
        <v>121</v>
      </c>
      <c r="P97" s="55" t="s">
        <v>17</v>
      </c>
      <c r="Q97" s="71">
        <v>0.175</v>
      </c>
      <c r="R97" s="71">
        <f t="shared" si="28"/>
        <v>0.9949999999999999</v>
      </c>
      <c r="S97" s="69">
        <f t="shared" si="21"/>
        <v>1.53</v>
      </c>
      <c r="T97" s="70">
        <f t="shared" si="22"/>
        <v>90</v>
      </c>
      <c r="U97" s="71">
        <f t="shared" si="20"/>
        <v>-0.5350000000000001</v>
      </c>
      <c r="V97" s="55">
        <v>0</v>
      </c>
      <c r="W97" s="69">
        <f t="shared" si="23"/>
        <v>2.625</v>
      </c>
      <c r="X97" s="75">
        <f t="shared" si="24"/>
        <v>3.16</v>
      </c>
      <c r="Y97" s="76">
        <f t="shared" si="25"/>
        <v>3.16</v>
      </c>
      <c r="Z97" s="92" t="str">
        <f t="shared" si="26"/>
        <v>открыт</v>
      </c>
    </row>
    <row r="98" spans="1:26" s="17" customFormat="1" ht="11.25">
      <c r="A98" s="74">
        <v>69</v>
      </c>
      <c r="B98" s="61" t="s">
        <v>122</v>
      </c>
      <c r="C98" s="45" t="s">
        <v>100</v>
      </c>
      <c r="D98" s="45">
        <v>6.16</v>
      </c>
      <c r="E98" s="45">
        <v>2.22</v>
      </c>
      <c r="F98" s="45">
        <v>60</v>
      </c>
      <c r="G98" s="45">
        <f t="shared" si="27"/>
        <v>3.94</v>
      </c>
      <c r="H98" s="45">
        <v>0</v>
      </c>
      <c r="I98" s="45">
        <f>25*1.05</f>
        <v>26.25</v>
      </c>
      <c r="J98" s="45">
        <f t="shared" si="19"/>
        <v>22.31</v>
      </c>
      <c r="K98" s="45">
        <f>J98</f>
        <v>22.31</v>
      </c>
      <c r="L98" s="12" t="str">
        <f t="shared" si="33"/>
        <v>открыт</v>
      </c>
      <c r="M98" s="94"/>
      <c r="N98" s="41">
        <v>70</v>
      </c>
      <c r="O98" s="61" t="s">
        <v>122</v>
      </c>
      <c r="P98" s="45" t="s">
        <v>100</v>
      </c>
      <c r="Q98" s="71">
        <v>0.455</v>
      </c>
      <c r="R98" s="18">
        <f t="shared" si="28"/>
        <v>6.615</v>
      </c>
      <c r="S98" s="69">
        <f t="shared" si="21"/>
        <v>2.22</v>
      </c>
      <c r="T98" s="70">
        <f t="shared" si="22"/>
        <v>60</v>
      </c>
      <c r="U98" s="18">
        <f t="shared" si="20"/>
        <v>4.395</v>
      </c>
      <c r="V98" s="45">
        <v>0</v>
      </c>
      <c r="W98" s="69">
        <f t="shared" si="23"/>
        <v>26.25</v>
      </c>
      <c r="X98" s="75">
        <f t="shared" si="24"/>
        <v>21.855</v>
      </c>
      <c r="Y98" s="76">
        <f t="shared" si="25"/>
        <v>21.855</v>
      </c>
      <c r="Z98" s="16" t="str">
        <f t="shared" si="26"/>
        <v>открыт</v>
      </c>
    </row>
    <row r="99" spans="1:26" s="17" customFormat="1" ht="11.25">
      <c r="A99" s="41">
        <v>70</v>
      </c>
      <c r="B99" s="61" t="s">
        <v>123</v>
      </c>
      <c r="C99" s="45" t="s">
        <v>17</v>
      </c>
      <c r="D99" s="45">
        <v>0.49</v>
      </c>
      <c r="E99" s="45">
        <v>0.65</v>
      </c>
      <c r="F99" s="45">
        <v>90</v>
      </c>
      <c r="G99" s="45">
        <f t="shared" si="27"/>
        <v>-0.16000000000000003</v>
      </c>
      <c r="H99" s="45">
        <v>0</v>
      </c>
      <c r="I99" s="19">
        <f>2.5*1.05</f>
        <v>2.625</v>
      </c>
      <c r="J99" s="19">
        <f t="shared" si="19"/>
        <v>2.785</v>
      </c>
      <c r="K99" s="19">
        <f>J99</f>
        <v>2.785</v>
      </c>
      <c r="L99" s="12" t="str">
        <f t="shared" si="33"/>
        <v>открыт</v>
      </c>
      <c r="M99" s="94"/>
      <c r="N99" s="41">
        <v>71</v>
      </c>
      <c r="O99" s="61" t="s">
        <v>123</v>
      </c>
      <c r="P99" s="45" t="s">
        <v>17</v>
      </c>
      <c r="Q99" s="71">
        <v>0.016</v>
      </c>
      <c r="R99" s="18">
        <f t="shared" si="28"/>
        <v>0.506</v>
      </c>
      <c r="S99" s="69">
        <f t="shared" si="21"/>
        <v>0.65</v>
      </c>
      <c r="T99" s="70">
        <f t="shared" si="22"/>
        <v>90</v>
      </c>
      <c r="U99" s="18">
        <f t="shared" si="20"/>
        <v>-0.14400000000000002</v>
      </c>
      <c r="V99" s="45">
        <v>0</v>
      </c>
      <c r="W99" s="69">
        <f t="shared" si="23"/>
        <v>2.625</v>
      </c>
      <c r="X99" s="75">
        <f t="shared" si="24"/>
        <v>2.769</v>
      </c>
      <c r="Y99" s="76">
        <f t="shared" si="25"/>
        <v>2.769</v>
      </c>
      <c r="Z99" s="16" t="str">
        <f t="shared" si="26"/>
        <v>открыт</v>
      </c>
    </row>
    <row r="100" spans="1:26" s="17" customFormat="1" ht="22.5">
      <c r="A100" s="41">
        <v>71</v>
      </c>
      <c r="B100" s="61" t="s">
        <v>124</v>
      </c>
      <c r="C100" s="45" t="s">
        <v>16</v>
      </c>
      <c r="D100" s="45">
        <v>3.17</v>
      </c>
      <c r="E100" s="45">
        <f>E101+E102</f>
        <v>1.98</v>
      </c>
      <c r="F100" s="45">
        <v>45</v>
      </c>
      <c r="G100" s="45">
        <f t="shared" si="27"/>
        <v>1.19</v>
      </c>
      <c r="H100" s="45">
        <v>0</v>
      </c>
      <c r="I100" s="45">
        <f>10*1.05</f>
        <v>10.5</v>
      </c>
      <c r="J100" s="45">
        <f t="shared" si="19"/>
        <v>9.31</v>
      </c>
      <c r="K100" s="135">
        <f>MIN(J100:J102)</f>
        <v>9.21</v>
      </c>
      <c r="L100" s="136" t="str">
        <f t="shared" si="33"/>
        <v>открыт</v>
      </c>
      <c r="M100" s="94"/>
      <c r="N100" s="150">
        <v>72</v>
      </c>
      <c r="O100" s="61" t="s">
        <v>124</v>
      </c>
      <c r="P100" s="45" t="s">
        <v>16</v>
      </c>
      <c r="Q100" s="71">
        <f>Q102+Q101</f>
        <v>1.066</v>
      </c>
      <c r="R100" s="18">
        <f>R101+R102</f>
        <v>4.246</v>
      </c>
      <c r="S100" s="69">
        <f t="shared" si="21"/>
        <v>1.98</v>
      </c>
      <c r="T100" s="70">
        <f t="shared" si="22"/>
        <v>45</v>
      </c>
      <c r="U100" s="18">
        <f t="shared" si="20"/>
        <v>2.2660000000000005</v>
      </c>
      <c r="V100" s="45">
        <v>0</v>
      </c>
      <c r="W100" s="69">
        <f t="shared" si="23"/>
        <v>10.5</v>
      </c>
      <c r="X100" s="75">
        <f t="shared" si="24"/>
        <v>8.234</v>
      </c>
      <c r="Y100" s="140">
        <f>X100</f>
        <v>8.234</v>
      </c>
      <c r="Z100" s="152" t="str">
        <f>IF(Y100&lt;0,"закрыт","открыт")</f>
        <v>открыт</v>
      </c>
    </row>
    <row r="101" spans="1:26" s="88" customFormat="1" ht="11.25">
      <c r="A101" s="41">
        <v>72</v>
      </c>
      <c r="B101" s="73" t="s">
        <v>206</v>
      </c>
      <c r="C101" s="55" t="s">
        <v>16</v>
      </c>
      <c r="D101" s="45">
        <v>1.32</v>
      </c>
      <c r="E101" s="55">
        <v>1.41</v>
      </c>
      <c r="F101" s="55">
        <v>45</v>
      </c>
      <c r="G101" s="55">
        <f t="shared" si="27"/>
        <v>-0.08999999999999986</v>
      </c>
      <c r="H101" s="55">
        <v>0</v>
      </c>
      <c r="I101" s="55">
        <f>10*1.05</f>
        <v>10.5</v>
      </c>
      <c r="J101" s="55">
        <f t="shared" si="19"/>
        <v>10.59</v>
      </c>
      <c r="K101" s="135"/>
      <c r="L101" s="136"/>
      <c r="M101" s="94"/>
      <c r="N101" s="150"/>
      <c r="O101" s="73" t="s">
        <v>206</v>
      </c>
      <c r="P101" s="55" t="s">
        <v>16</v>
      </c>
      <c r="Q101" s="106">
        <f>Q96+Q12+Q19</f>
        <v>0.188</v>
      </c>
      <c r="R101" s="71">
        <f t="shared" si="28"/>
        <v>1.508</v>
      </c>
      <c r="S101" s="69">
        <f t="shared" si="21"/>
        <v>1.41</v>
      </c>
      <c r="T101" s="70">
        <f t="shared" si="22"/>
        <v>45</v>
      </c>
      <c r="U101" s="71">
        <f t="shared" si="20"/>
        <v>0.09800000000000009</v>
      </c>
      <c r="V101" s="55">
        <v>0</v>
      </c>
      <c r="W101" s="69">
        <f t="shared" si="23"/>
        <v>10.5</v>
      </c>
      <c r="X101" s="75">
        <f t="shared" si="24"/>
        <v>10.402</v>
      </c>
      <c r="Y101" s="125"/>
      <c r="Z101" s="138"/>
    </row>
    <row r="102" spans="1:26" s="17" customFormat="1" ht="11.25">
      <c r="A102" s="41"/>
      <c r="B102" s="61" t="s">
        <v>207</v>
      </c>
      <c r="C102" s="45" t="s">
        <v>16</v>
      </c>
      <c r="D102" s="45">
        <v>1.86</v>
      </c>
      <c r="E102" s="45">
        <v>0.57</v>
      </c>
      <c r="F102" s="45">
        <v>45</v>
      </c>
      <c r="G102" s="45">
        <f t="shared" si="27"/>
        <v>1.29</v>
      </c>
      <c r="H102" s="45">
        <v>0</v>
      </c>
      <c r="I102" s="45">
        <f>10*1.05</f>
        <v>10.5</v>
      </c>
      <c r="J102" s="45">
        <f t="shared" si="19"/>
        <v>9.21</v>
      </c>
      <c r="K102" s="135"/>
      <c r="L102" s="136"/>
      <c r="M102" s="94"/>
      <c r="N102" s="150"/>
      <c r="O102" s="61" t="s">
        <v>207</v>
      </c>
      <c r="P102" s="45" t="s">
        <v>16</v>
      </c>
      <c r="Q102" s="71">
        <v>0.878</v>
      </c>
      <c r="R102" s="18">
        <f t="shared" si="28"/>
        <v>2.738</v>
      </c>
      <c r="S102" s="69">
        <f t="shared" si="21"/>
        <v>0.57</v>
      </c>
      <c r="T102" s="70">
        <f t="shared" si="22"/>
        <v>45</v>
      </c>
      <c r="U102" s="18">
        <f t="shared" si="20"/>
        <v>2.168</v>
      </c>
      <c r="V102" s="45">
        <v>0</v>
      </c>
      <c r="W102" s="69">
        <f t="shared" si="23"/>
        <v>10.5</v>
      </c>
      <c r="X102" s="75">
        <f t="shared" si="24"/>
        <v>8.332</v>
      </c>
      <c r="Y102" s="126"/>
      <c r="Z102" s="139"/>
    </row>
    <row r="103" spans="1:26" s="17" customFormat="1" ht="11.25">
      <c r="A103" s="41"/>
      <c r="B103" s="61" t="s">
        <v>125</v>
      </c>
      <c r="C103" s="45" t="s">
        <v>26</v>
      </c>
      <c r="D103" s="45">
        <v>2.24</v>
      </c>
      <c r="E103" s="45">
        <v>0.91</v>
      </c>
      <c r="F103" s="45">
        <v>90</v>
      </c>
      <c r="G103" s="45">
        <f t="shared" si="27"/>
        <v>1.33</v>
      </c>
      <c r="H103" s="45">
        <v>0</v>
      </c>
      <c r="I103" s="45">
        <f>4*1.05</f>
        <v>4.2</v>
      </c>
      <c r="J103" s="45">
        <f t="shared" si="19"/>
        <v>2.87</v>
      </c>
      <c r="K103" s="45">
        <f>J103</f>
        <v>2.87</v>
      </c>
      <c r="L103" s="12" t="str">
        <f>IF(K103&lt;0,"закрыт","открыт")</f>
        <v>открыт</v>
      </c>
      <c r="M103" s="94"/>
      <c r="N103" s="41">
        <v>73</v>
      </c>
      <c r="O103" s="61" t="s">
        <v>125</v>
      </c>
      <c r="P103" s="45" t="s">
        <v>26</v>
      </c>
      <c r="Q103" s="71">
        <v>1.098</v>
      </c>
      <c r="R103" s="18">
        <f t="shared" si="28"/>
        <v>3.338</v>
      </c>
      <c r="S103" s="69">
        <f t="shared" si="21"/>
        <v>0.91</v>
      </c>
      <c r="T103" s="70">
        <f t="shared" si="22"/>
        <v>90</v>
      </c>
      <c r="U103" s="18">
        <f t="shared" si="20"/>
        <v>2.428</v>
      </c>
      <c r="V103" s="45">
        <v>0</v>
      </c>
      <c r="W103" s="69">
        <f t="shared" si="23"/>
        <v>4.2</v>
      </c>
      <c r="X103" s="75">
        <f t="shared" si="24"/>
        <v>1.7720000000000002</v>
      </c>
      <c r="Y103" s="76">
        <f t="shared" si="25"/>
        <v>1.7720000000000002</v>
      </c>
      <c r="Z103" s="16" t="str">
        <f t="shared" si="26"/>
        <v>открыт</v>
      </c>
    </row>
    <row r="104" spans="1:26" s="17" customFormat="1" ht="22.5">
      <c r="A104" s="41">
        <v>73</v>
      </c>
      <c r="B104" s="61" t="s">
        <v>126</v>
      </c>
      <c r="C104" s="45" t="s">
        <v>127</v>
      </c>
      <c r="D104" s="45">
        <v>29.48</v>
      </c>
      <c r="E104" s="45">
        <v>3.86</v>
      </c>
      <c r="F104" s="45">
        <v>180</v>
      </c>
      <c r="G104" s="45">
        <f t="shared" si="27"/>
        <v>25.62</v>
      </c>
      <c r="H104" s="45">
        <v>0</v>
      </c>
      <c r="I104" s="45">
        <f>65*1.05</f>
        <v>68.25</v>
      </c>
      <c r="J104" s="45">
        <f t="shared" si="19"/>
        <v>42.629999999999995</v>
      </c>
      <c r="K104" s="135">
        <f>MIN(J104:J106)</f>
        <v>19</v>
      </c>
      <c r="L104" s="136" t="str">
        <f>IF(K104&lt;0,"закрыт","открыт")</f>
        <v>открыт</v>
      </c>
      <c r="M104" s="94"/>
      <c r="N104" s="150">
        <v>74</v>
      </c>
      <c r="O104" s="61" t="s">
        <v>126</v>
      </c>
      <c r="P104" s="45" t="s">
        <v>127</v>
      </c>
      <c r="Q104" s="71">
        <f>Q106+Q105</f>
        <v>8.189</v>
      </c>
      <c r="R104" s="18">
        <f>R105+R106</f>
        <v>37.569</v>
      </c>
      <c r="S104" s="69">
        <f t="shared" si="21"/>
        <v>3.86</v>
      </c>
      <c r="T104" s="70">
        <f t="shared" si="22"/>
        <v>180</v>
      </c>
      <c r="U104" s="18">
        <f t="shared" si="20"/>
        <v>33.709</v>
      </c>
      <c r="V104" s="45">
        <v>0</v>
      </c>
      <c r="W104" s="69">
        <f t="shared" si="23"/>
        <v>68.25</v>
      </c>
      <c r="X104" s="75">
        <f t="shared" si="24"/>
        <v>34.541</v>
      </c>
      <c r="Y104" s="140">
        <f>X104</f>
        <v>34.541</v>
      </c>
      <c r="Z104" s="152" t="str">
        <f>IF(Y104&lt;0,"закрыт","открыт")</f>
        <v>открыт</v>
      </c>
    </row>
    <row r="105" spans="1:26" s="88" customFormat="1" ht="11.25">
      <c r="A105" s="41">
        <v>74</v>
      </c>
      <c r="B105" s="73" t="s">
        <v>206</v>
      </c>
      <c r="C105" s="55" t="s">
        <v>34</v>
      </c>
      <c r="D105" s="45">
        <v>7.1</v>
      </c>
      <c r="E105" s="55">
        <v>5.1</v>
      </c>
      <c r="F105" s="55">
        <v>90</v>
      </c>
      <c r="G105" s="55">
        <f t="shared" si="27"/>
        <v>2</v>
      </c>
      <c r="H105" s="55">
        <v>0</v>
      </c>
      <c r="I105" s="55">
        <f>20*1.05</f>
        <v>21</v>
      </c>
      <c r="J105" s="55">
        <f t="shared" si="19"/>
        <v>19</v>
      </c>
      <c r="K105" s="135"/>
      <c r="L105" s="136"/>
      <c r="M105" s="94"/>
      <c r="N105" s="150"/>
      <c r="O105" s="73" t="s">
        <v>206</v>
      </c>
      <c r="P105" s="55" t="s">
        <v>34</v>
      </c>
      <c r="Q105" s="102">
        <f>Q67+Q66+Q74+Q103+Q20</f>
        <v>1.8490000000000002</v>
      </c>
      <c r="R105" s="71">
        <f t="shared" si="28"/>
        <v>8.949</v>
      </c>
      <c r="S105" s="69">
        <f t="shared" si="21"/>
        <v>5.1</v>
      </c>
      <c r="T105" s="70">
        <f t="shared" si="22"/>
        <v>90</v>
      </c>
      <c r="U105" s="71">
        <f t="shared" si="20"/>
        <v>3.849</v>
      </c>
      <c r="V105" s="55">
        <v>0</v>
      </c>
      <c r="W105" s="69">
        <f t="shared" si="23"/>
        <v>21</v>
      </c>
      <c r="X105" s="75">
        <f t="shared" si="24"/>
        <v>17.151</v>
      </c>
      <c r="Y105" s="125"/>
      <c r="Z105" s="138"/>
    </row>
    <row r="106" spans="1:26" s="17" customFormat="1" ht="22.5">
      <c r="A106" s="41"/>
      <c r="B106" s="61" t="s">
        <v>207</v>
      </c>
      <c r="C106" s="45" t="s">
        <v>127</v>
      </c>
      <c r="D106" s="45">
        <v>22.28</v>
      </c>
      <c r="E106" s="45">
        <v>3.86</v>
      </c>
      <c r="F106" s="45">
        <v>180</v>
      </c>
      <c r="G106" s="45">
        <f t="shared" si="27"/>
        <v>18.42</v>
      </c>
      <c r="H106" s="45">
        <v>0</v>
      </c>
      <c r="I106" s="45">
        <f>65*1.05</f>
        <v>68.25</v>
      </c>
      <c r="J106" s="45">
        <f t="shared" si="19"/>
        <v>49.83</v>
      </c>
      <c r="K106" s="135"/>
      <c r="L106" s="136"/>
      <c r="M106" s="94"/>
      <c r="N106" s="150"/>
      <c r="O106" s="61" t="s">
        <v>207</v>
      </c>
      <c r="P106" s="45" t="s">
        <v>127</v>
      </c>
      <c r="Q106" s="71">
        <v>6.34</v>
      </c>
      <c r="R106" s="18">
        <f t="shared" si="28"/>
        <v>28.62</v>
      </c>
      <c r="S106" s="69">
        <f t="shared" si="21"/>
        <v>3.86</v>
      </c>
      <c r="T106" s="70">
        <f t="shared" si="22"/>
        <v>180</v>
      </c>
      <c r="U106" s="18">
        <f t="shared" si="20"/>
        <v>24.76</v>
      </c>
      <c r="V106" s="45">
        <v>0</v>
      </c>
      <c r="W106" s="69">
        <f t="shared" si="23"/>
        <v>68.25</v>
      </c>
      <c r="X106" s="75">
        <f t="shared" si="24"/>
        <v>43.489999999999995</v>
      </c>
      <c r="Y106" s="126"/>
      <c r="Z106" s="139"/>
    </row>
    <row r="107" spans="1:26" s="17" customFormat="1" ht="11.25">
      <c r="A107" s="41"/>
      <c r="B107" s="61" t="s">
        <v>128</v>
      </c>
      <c r="C107" s="45" t="s">
        <v>129</v>
      </c>
      <c r="D107" s="45">
        <v>1.49</v>
      </c>
      <c r="E107" s="45">
        <v>0.64</v>
      </c>
      <c r="F107" s="45">
        <v>90</v>
      </c>
      <c r="G107" s="45">
        <f t="shared" si="27"/>
        <v>0.85</v>
      </c>
      <c r="H107" s="45">
        <v>0</v>
      </c>
      <c r="I107" s="45">
        <f>3.2*1.05</f>
        <v>3.3600000000000003</v>
      </c>
      <c r="J107" s="45">
        <f t="shared" si="19"/>
        <v>2.5100000000000002</v>
      </c>
      <c r="K107" s="45">
        <f aca="true" t="shared" si="34" ref="K107:K113">J107</f>
        <v>2.5100000000000002</v>
      </c>
      <c r="L107" s="12" t="str">
        <f aca="true" t="shared" si="35" ref="L107:L114">IF(K107&lt;0,"закрыт","открыт")</f>
        <v>открыт</v>
      </c>
      <c r="M107" s="94"/>
      <c r="N107" s="41">
        <v>75</v>
      </c>
      <c r="O107" s="61" t="s">
        <v>128</v>
      </c>
      <c r="P107" s="45" t="s">
        <v>129</v>
      </c>
      <c r="Q107" s="71">
        <v>0.068</v>
      </c>
      <c r="R107" s="18">
        <f t="shared" si="28"/>
        <v>1.558</v>
      </c>
      <c r="S107" s="69">
        <f t="shared" si="21"/>
        <v>0.64</v>
      </c>
      <c r="T107" s="70">
        <f t="shared" si="22"/>
        <v>90</v>
      </c>
      <c r="U107" s="18">
        <f t="shared" si="20"/>
        <v>0.918</v>
      </c>
      <c r="V107" s="45">
        <v>0</v>
      </c>
      <c r="W107" s="69">
        <f t="shared" si="23"/>
        <v>3.3600000000000003</v>
      </c>
      <c r="X107" s="75">
        <f t="shared" si="24"/>
        <v>2.442</v>
      </c>
      <c r="Y107" s="76">
        <f t="shared" si="25"/>
        <v>2.442</v>
      </c>
      <c r="Z107" s="16" t="str">
        <f t="shared" si="26"/>
        <v>открыт</v>
      </c>
    </row>
    <row r="108" spans="1:26" s="17" customFormat="1" ht="11.25">
      <c r="A108" s="41">
        <v>75</v>
      </c>
      <c r="B108" s="61" t="s">
        <v>130</v>
      </c>
      <c r="C108" s="45" t="s">
        <v>131</v>
      </c>
      <c r="D108" s="45">
        <v>0.81</v>
      </c>
      <c r="E108" s="45">
        <v>1.76</v>
      </c>
      <c r="F108" s="45">
        <v>30</v>
      </c>
      <c r="G108" s="45">
        <f t="shared" si="27"/>
        <v>-0.95</v>
      </c>
      <c r="H108" s="45">
        <v>0</v>
      </c>
      <c r="I108" s="45">
        <f>3.2*1.05</f>
        <v>3.3600000000000003</v>
      </c>
      <c r="J108" s="45">
        <f t="shared" si="19"/>
        <v>4.3100000000000005</v>
      </c>
      <c r="K108" s="45">
        <f t="shared" si="34"/>
        <v>4.3100000000000005</v>
      </c>
      <c r="L108" s="12" t="str">
        <f t="shared" si="35"/>
        <v>открыт</v>
      </c>
      <c r="M108" s="94"/>
      <c r="N108" s="41">
        <v>76</v>
      </c>
      <c r="O108" s="61" t="s">
        <v>130</v>
      </c>
      <c r="P108" s="45" t="s">
        <v>131</v>
      </c>
      <c r="Q108" s="71">
        <v>0.041</v>
      </c>
      <c r="R108" s="18">
        <f t="shared" si="28"/>
        <v>0.8510000000000001</v>
      </c>
      <c r="S108" s="69">
        <f t="shared" si="21"/>
        <v>1.76</v>
      </c>
      <c r="T108" s="70">
        <f t="shared" si="22"/>
        <v>30</v>
      </c>
      <c r="U108" s="18">
        <f t="shared" si="20"/>
        <v>-0.9089999999999999</v>
      </c>
      <c r="V108" s="45">
        <v>0</v>
      </c>
      <c r="W108" s="69">
        <f t="shared" si="23"/>
        <v>3.3600000000000003</v>
      </c>
      <c r="X108" s="75">
        <f t="shared" si="24"/>
        <v>4.269</v>
      </c>
      <c r="Y108" s="76">
        <f t="shared" si="25"/>
        <v>4.269</v>
      </c>
      <c r="Z108" s="16" t="str">
        <f t="shared" si="26"/>
        <v>открыт</v>
      </c>
    </row>
    <row r="109" spans="1:26" s="17" customFormat="1" ht="11.25">
      <c r="A109" s="41">
        <v>76</v>
      </c>
      <c r="B109" s="61" t="s">
        <v>132</v>
      </c>
      <c r="C109" s="45" t="s">
        <v>23</v>
      </c>
      <c r="D109" s="45">
        <v>8.13</v>
      </c>
      <c r="E109" s="45">
        <v>1.51</v>
      </c>
      <c r="F109" s="45">
        <v>120</v>
      </c>
      <c r="G109" s="45">
        <f t="shared" si="27"/>
        <v>6.620000000000001</v>
      </c>
      <c r="H109" s="45">
        <v>0</v>
      </c>
      <c r="I109" s="45">
        <f>25*1.05</f>
        <v>26.25</v>
      </c>
      <c r="J109" s="45">
        <f t="shared" si="19"/>
        <v>19.63</v>
      </c>
      <c r="K109" s="45">
        <f t="shared" si="34"/>
        <v>19.63</v>
      </c>
      <c r="L109" s="12" t="str">
        <f t="shared" si="35"/>
        <v>открыт</v>
      </c>
      <c r="M109" s="94"/>
      <c r="N109" s="41">
        <v>77</v>
      </c>
      <c r="O109" s="61" t="s">
        <v>132</v>
      </c>
      <c r="P109" s="45" t="s">
        <v>23</v>
      </c>
      <c r="Q109" s="71">
        <v>3.582</v>
      </c>
      <c r="R109" s="18">
        <f t="shared" si="28"/>
        <v>11.712</v>
      </c>
      <c r="S109" s="69">
        <f t="shared" si="21"/>
        <v>1.51</v>
      </c>
      <c r="T109" s="70">
        <f t="shared" si="22"/>
        <v>120</v>
      </c>
      <c r="U109" s="18">
        <f t="shared" si="20"/>
        <v>10.202</v>
      </c>
      <c r="V109" s="45">
        <v>0</v>
      </c>
      <c r="W109" s="69">
        <f t="shared" si="23"/>
        <v>26.25</v>
      </c>
      <c r="X109" s="75">
        <f t="shared" si="24"/>
        <v>16.048000000000002</v>
      </c>
      <c r="Y109" s="76">
        <f t="shared" si="25"/>
        <v>16.048000000000002</v>
      </c>
      <c r="Z109" s="16" t="str">
        <f t="shared" si="26"/>
        <v>открыт</v>
      </c>
    </row>
    <row r="110" spans="1:26" s="17" customFormat="1" ht="22.5">
      <c r="A110" s="41">
        <v>77</v>
      </c>
      <c r="B110" s="61" t="s">
        <v>133</v>
      </c>
      <c r="C110" s="45" t="s">
        <v>134</v>
      </c>
      <c r="D110" s="45">
        <v>1.12</v>
      </c>
      <c r="E110" s="45">
        <v>0</v>
      </c>
      <c r="F110" s="45" t="s">
        <v>209</v>
      </c>
      <c r="G110" s="45">
        <f t="shared" si="27"/>
        <v>1.12</v>
      </c>
      <c r="H110" s="45">
        <v>0</v>
      </c>
      <c r="I110" s="45">
        <f>5.6*1.05</f>
        <v>5.88</v>
      </c>
      <c r="J110" s="45">
        <f t="shared" si="19"/>
        <v>4.76</v>
      </c>
      <c r="K110" s="45">
        <f t="shared" si="34"/>
        <v>4.76</v>
      </c>
      <c r="L110" s="12" t="str">
        <f t="shared" si="35"/>
        <v>открыт</v>
      </c>
      <c r="M110" s="94"/>
      <c r="N110" s="41">
        <v>78</v>
      </c>
      <c r="O110" s="61" t="s">
        <v>133</v>
      </c>
      <c r="P110" s="45" t="s">
        <v>134</v>
      </c>
      <c r="Q110" s="71">
        <v>0</v>
      </c>
      <c r="R110" s="18">
        <f t="shared" si="28"/>
        <v>1.12</v>
      </c>
      <c r="S110" s="69">
        <f t="shared" si="21"/>
        <v>0</v>
      </c>
      <c r="T110" s="70"/>
      <c r="U110" s="18">
        <f t="shared" si="20"/>
        <v>1.12</v>
      </c>
      <c r="V110" s="45">
        <v>0</v>
      </c>
      <c r="W110" s="69">
        <f t="shared" si="23"/>
        <v>5.88</v>
      </c>
      <c r="X110" s="75">
        <f t="shared" si="24"/>
        <v>4.76</v>
      </c>
      <c r="Y110" s="76">
        <f t="shared" si="25"/>
        <v>4.76</v>
      </c>
      <c r="Z110" s="16" t="str">
        <f t="shared" si="26"/>
        <v>открыт</v>
      </c>
    </row>
    <row r="111" spans="1:26" s="17" customFormat="1" ht="11.25">
      <c r="A111" s="41">
        <v>78</v>
      </c>
      <c r="B111" s="61" t="s">
        <v>135</v>
      </c>
      <c r="C111" s="45" t="s">
        <v>27</v>
      </c>
      <c r="D111" s="45">
        <v>2.47</v>
      </c>
      <c r="E111" s="45">
        <v>1.49</v>
      </c>
      <c r="F111" s="45">
        <v>80</v>
      </c>
      <c r="G111" s="45">
        <f t="shared" si="27"/>
        <v>0.9800000000000002</v>
      </c>
      <c r="H111" s="45">
        <v>0</v>
      </c>
      <c r="I111" s="19">
        <f>2.5*1.05</f>
        <v>2.625</v>
      </c>
      <c r="J111" s="19">
        <f t="shared" si="19"/>
        <v>1.6449999999999998</v>
      </c>
      <c r="K111" s="19">
        <f t="shared" si="34"/>
        <v>1.6449999999999998</v>
      </c>
      <c r="L111" s="12" t="str">
        <f t="shared" si="35"/>
        <v>открыт</v>
      </c>
      <c r="M111" s="94"/>
      <c r="N111" s="41">
        <v>79</v>
      </c>
      <c r="O111" s="61" t="s">
        <v>135</v>
      </c>
      <c r="P111" s="45" t="s">
        <v>27</v>
      </c>
      <c r="Q111" s="71">
        <v>0.599</v>
      </c>
      <c r="R111" s="18">
        <f t="shared" si="28"/>
        <v>3.069</v>
      </c>
      <c r="S111" s="69">
        <f t="shared" si="21"/>
        <v>1.49</v>
      </c>
      <c r="T111" s="70">
        <f t="shared" si="22"/>
        <v>80</v>
      </c>
      <c r="U111" s="18">
        <f t="shared" si="20"/>
        <v>1.579</v>
      </c>
      <c r="V111" s="45">
        <v>0</v>
      </c>
      <c r="W111" s="69">
        <f t="shared" si="23"/>
        <v>2.625</v>
      </c>
      <c r="X111" s="75">
        <f t="shared" si="24"/>
        <v>1.046</v>
      </c>
      <c r="Y111" s="76">
        <f t="shared" si="25"/>
        <v>1.046</v>
      </c>
      <c r="Z111" s="16" t="str">
        <f t="shared" si="26"/>
        <v>открыт</v>
      </c>
    </row>
    <row r="112" spans="1:26" s="17" customFormat="1" ht="11.25">
      <c r="A112" s="41">
        <v>79</v>
      </c>
      <c r="B112" s="61" t="s">
        <v>136</v>
      </c>
      <c r="C112" s="45" t="s">
        <v>19</v>
      </c>
      <c r="D112" s="45">
        <v>0.53</v>
      </c>
      <c r="E112" s="45">
        <v>1.03</v>
      </c>
      <c r="F112" s="45">
        <v>80</v>
      </c>
      <c r="G112" s="45">
        <f t="shared" si="27"/>
        <v>-0.5</v>
      </c>
      <c r="H112" s="45">
        <v>0</v>
      </c>
      <c r="I112" s="45">
        <f>1.6*1.05</f>
        <v>1.6800000000000002</v>
      </c>
      <c r="J112" s="45">
        <f t="shared" si="19"/>
        <v>2.18</v>
      </c>
      <c r="K112" s="45">
        <f t="shared" si="34"/>
        <v>2.18</v>
      </c>
      <c r="L112" s="12" t="str">
        <f t="shared" si="35"/>
        <v>открыт</v>
      </c>
      <c r="M112" s="94"/>
      <c r="N112" s="41">
        <v>80</v>
      </c>
      <c r="O112" s="61" t="s">
        <v>136</v>
      </c>
      <c r="P112" s="45" t="s">
        <v>19</v>
      </c>
      <c r="Q112" s="71">
        <v>0.06</v>
      </c>
      <c r="R112" s="18">
        <f t="shared" si="28"/>
        <v>0.5900000000000001</v>
      </c>
      <c r="S112" s="69">
        <f t="shared" si="21"/>
        <v>1.03</v>
      </c>
      <c r="T112" s="70">
        <f t="shared" si="22"/>
        <v>80</v>
      </c>
      <c r="U112" s="18">
        <f t="shared" si="20"/>
        <v>-0.43999999999999995</v>
      </c>
      <c r="V112" s="45">
        <v>0</v>
      </c>
      <c r="W112" s="69">
        <f t="shared" si="23"/>
        <v>1.6800000000000002</v>
      </c>
      <c r="X112" s="75">
        <f t="shared" si="24"/>
        <v>2.12</v>
      </c>
      <c r="Y112" s="76">
        <f t="shared" si="25"/>
        <v>2.12</v>
      </c>
      <c r="Z112" s="16" t="str">
        <f t="shared" si="26"/>
        <v>открыт</v>
      </c>
    </row>
    <row r="113" spans="1:26" s="17" customFormat="1" ht="22.5">
      <c r="A113" s="41">
        <v>80</v>
      </c>
      <c r="B113" s="61" t="s">
        <v>137</v>
      </c>
      <c r="C113" s="45" t="s">
        <v>23</v>
      </c>
      <c r="D113" s="45">
        <v>13.82</v>
      </c>
      <c r="E113" s="45">
        <v>3.46</v>
      </c>
      <c r="F113" s="45">
        <v>135</v>
      </c>
      <c r="G113" s="45">
        <f t="shared" si="27"/>
        <v>10.36</v>
      </c>
      <c r="H113" s="45">
        <v>0</v>
      </c>
      <c r="I113" s="45">
        <f>25*1.05</f>
        <v>26.25</v>
      </c>
      <c r="J113" s="45">
        <f t="shared" si="19"/>
        <v>15.89</v>
      </c>
      <c r="K113" s="45">
        <f t="shared" si="34"/>
        <v>15.89</v>
      </c>
      <c r="L113" s="12" t="str">
        <f t="shared" si="35"/>
        <v>открыт</v>
      </c>
      <c r="M113" s="94"/>
      <c r="N113" s="41">
        <v>81</v>
      </c>
      <c r="O113" s="61" t="s">
        <v>137</v>
      </c>
      <c r="P113" s="45" t="s">
        <v>23</v>
      </c>
      <c r="Q113" s="71">
        <v>0</v>
      </c>
      <c r="R113" s="18">
        <f t="shared" si="28"/>
        <v>13.82</v>
      </c>
      <c r="S113" s="69">
        <f t="shared" si="21"/>
        <v>3.46</v>
      </c>
      <c r="T113" s="70">
        <f t="shared" si="22"/>
        <v>135</v>
      </c>
      <c r="U113" s="18">
        <f t="shared" si="20"/>
        <v>10.36</v>
      </c>
      <c r="V113" s="45">
        <v>0</v>
      </c>
      <c r="W113" s="69">
        <f t="shared" si="23"/>
        <v>26.25</v>
      </c>
      <c r="X113" s="75">
        <f t="shared" si="24"/>
        <v>15.89</v>
      </c>
      <c r="Y113" s="76">
        <f t="shared" si="25"/>
        <v>15.89</v>
      </c>
      <c r="Z113" s="16" t="str">
        <f t="shared" si="26"/>
        <v>открыт</v>
      </c>
    </row>
    <row r="114" spans="1:26" s="88" customFormat="1" ht="22.5">
      <c r="A114" s="41">
        <v>81</v>
      </c>
      <c r="B114" s="73" t="s">
        <v>138</v>
      </c>
      <c r="C114" s="55" t="s">
        <v>20</v>
      </c>
      <c r="D114" s="45">
        <v>2.37</v>
      </c>
      <c r="E114" s="55">
        <f>E115+E116</f>
        <v>1.3599999999999999</v>
      </c>
      <c r="F114" s="55">
        <v>30</v>
      </c>
      <c r="G114" s="55">
        <f t="shared" si="27"/>
        <v>1.0100000000000002</v>
      </c>
      <c r="H114" s="55">
        <v>0</v>
      </c>
      <c r="I114" s="55">
        <f>6.3*1.05</f>
        <v>6.615</v>
      </c>
      <c r="J114" s="55">
        <f t="shared" si="19"/>
        <v>5.605</v>
      </c>
      <c r="K114" s="135">
        <f>MIN(J114:J116)</f>
        <v>5.605</v>
      </c>
      <c r="L114" s="114" t="str">
        <f t="shared" si="35"/>
        <v>открыт</v>
      </c>
      <c r="M114" s="94"/>
      <c r="N114" s="151">
        <v>82</v>
      </c>
      <c r="O114" s="73" t="s">
        <v>138</v>
      </c>
      <c r="P114" s="55" t="s">
        <v>20</v>
      </c>
      <c r="Q114" s="71">
        <f>Q116+Q115</f>
        <v>0.124</v>
      </c>
      <c r="R114" s="71">
        <f>R115+R116</f>
        <v>2.514</v>
      </c>
      <c r="S114" s="69">
        <f t="shared" si="21"/>
        <v>1.3599999999999999</v>
      </c>
      <c r="T114" s="70">
        <f t="shared" si="22"/>
        <v>30</v>
      </c>
      <c r="U114" s="71">
        <f t="shared" si="20"/>
        <v>1.154</v>
      </c>
      <c r="V114" s="55">
        <v>0</v>
      </c>
      <c r="W114" s="69">
        <f t="shared" si="23"/>
        <v>6.615</v>
      </c>
      <c r="X114" s="75">
        <f t="shared" si="24"/>
        <v>5.461</v>
      </c>
      <c r="Y114" s="144">
        <f>X114</f>
        <v>5.461</v>
      </c>
      <c r="Z114" s="147" t="str">
        <f>IF(Y114&lt;0,"закрыт","открыт")</f>
        <v>открыт</v>
      </c>
    </row>
    <row r="115" spans="1:26" s="88" customFormat="1" ht="11.25">
      <c r="A115" s="74">
        <v>82</v>
      </c>
      <c r="B115" s="73" t="s">
        <v>206</v>
      </c>
      <c r="C115" s="55" t="s">
        <v>20</v>
      </c>
      <c r="D115" s="45">
        <v>0.97</v>
      </c>
      <c r="E115" s="55">
        <v>0.54</v>
      </c>
      <c r="F115" s="55">
        <v>30</v>
      </c>
      <c r="G115" s="55">
        <f t="shared" si="27"/>
        <v>0.42999999999999994</v>
      </c>
      <c r="H115" s="55">
        <v>0</v>
      </c>
      <c r="I115" s="55">
        <f>6.3*1.05</f>
        <v>6.615</v>
      </c>
      <c r="J115" s="55">
        <f t="shared" si="19"/>
        <v>6.1850000000000005</v>
      </c>
      <c r="K115" s="135"/>
      <c r="L115" s="114"/>
      <c r="M115" s="94"/>
      <c r="N115" s="151"/>
      <c r="O115" s="73" t="s">
        <v>206</v>
      </c>
      <c r="P115" s="55" t="s">
        <v>20</v>
      </c>
      <c r="Q115" s="102">
        <f>Q26+Q112+Q22</f>
        <v>0.079</v>
      </c>
      <c r="R115" s="71">
        <f t="shared" si="28"/>
        <v>1.049</v>
      </c>
      <c r="S115" s="69">
        <f t="shared" si="21"/>
        <v>0.54</v>
      </c>
      <c r="T115" s="70">
        <f t="shared" si="22"/>
        <v>30</v>
      </c>
      <c r="U115" s="71">
        <f t="shared" si="20"/>
        <v>0.5089999999999999</v>
      </c>
      <c r="V115" s="55">
        <v>0</v>
      </c>
      <c r="W115" s="69">
        <f t="shared" si="23"/>
        <v>6.615</v>
      </c>
      <c r="X115" s="75">
        <f t="shared" si="24"/>
        <v>6.106</v>
      </c>
      <c r="Y115" s="145"/>
      <c r="Z115" s="148"/>
    </row>
    <row r="116" spans="1:26" s="88" customFormat="1" ht="11.25">
      <c r="A116" s="74"/>
      <c r="B116" s="73" t="s">
        <v>207</v>
      </c>
      <c r="C116" s="55" t="s">
        <v>20</v>
      </c>
      <c r="D116" s="45">
        <v>1.42</v>
      </c>
      <c r="E116" s="55">
        <v>0.82</v>
      </c>
      <c r="F116" s="55">
        <v>30</v>
      </c>
      <c r="G116" s="55">
        <f t="shared" si="27"/>
        <v>0.6</v>
      </c>
      <c r="H116" s="55">
        <v>0</v>
      </c>
      <c r="I116" s="55">
        <f>6.3*1.05</f>
        <v>6.615</v>
      </c>
      <c r="J116" s="55">
        <f t="shared" si="19"/>
        <v>6.015000000000001</v>
      </c>
      <c r="K116" s="135"/>
      <c r="L116" s="114"/>
      <c r="M116" s="94"/>
      <c r="N116" s="151"/>
      <c r="O116" s="73" t="s">
        <v>207</v>
      </c>
      <c r="P116" s="55" t="s">
        <v>20</v>
      </c>
      <c r="Q116" s="71">
        <v>0.045</v>
      </c>
      <c r="R116" s="71">
        <f t="shared" si="28"/>
        <v>1.4649999999999999</v>
      </c>
      <c r="S116" s="69">
        <f t="shared" si="21"/>
        <v>0.82</v>
      </c>
      <c r="T116" s="70">
        <f t="shared" si="22"/>
        <v>30</v>
      </c>
      <c r="U116" s="71">
        <f t="shared" si="20"/>
        <v>0.6449999999999999</v>
      </c>
      <c r="V116" s="55">
        <v>0</v>
      </c>
      <c r="W116" s="69">
        <f t="shared" si="23"/>
        <v>6.615</v>
      </c>
      <c r="X116" s="75">
        <f t="shared" si="24"/>
        <v>5.970000000000001</v>
      </c>
      <c r="Y116" s="146"/>
      <c r="Z116" s="149"/>
    </row>
    <row r="117" spans="1:26" s="17" customFormat="1" ht="11.25">
      <c r="A117" s="74"/>
      <c r="B117" s="61" t="s">
        <v>139</v>
      </c>
      <c r="C117" s="45" t="s">
        <v>16</v>
      </c>
      <c r="D117" s="45">
        <v>2.51</v>
      </c>
      <c r="E117" s="45">
        <f>E118+E119</f>
        <v>2.5500000000000003</v>
      </c>
      <c r="F117" s="45">
        <v>120</v>
      </c>
      <c r="G117" s="45">
        <f t="shared" si="27"/>
        <v>-0.04000000000000048</v>
      </c>
      <c r="H117" s="45">
        <v>0</v>
      </c>
      <c r="I117" s="45">
        <f>10*1.05</f>
        <v>10.5</v>
      </c>
      <c r="J117" s="45">
        <f t="shared" si="19"/>
        <v>10.540000000000001</v>
      </c>
      <c r="K117" s="135">
        <f>MIN(J117:J119)</f>
        <v>10.07</v>
      </c>
      <c r="L117" s="136" t="str">
        <f>IF(K117&lt;0,"закрыт","открыт")</f>
        <v>открыт</v>
      </c>
      <c r="M117" s="94"/>
      <c r="N117" s="150">
        <v>83</v>
      </c>
      <c r="O117" s="61" t="s">
        <v>139</v>
      </c>
      <c r="P117" s="45" t="s">
        <v>16</v>
      </c>
      <c r="Q117" s="71">
        <f>Q118+Q119</f>
        <v>0.357</v>
      </c>
      <c r="R117" s="18">
        <f>R118+R119</f>
        <v>2.877</v>
      </c>
      <c r="S117" s="69">
        <f t="shared" si="21"/>
        <v>2.5500000000000003</v>
      </c>
      <c r="T117" s="70">
        <f t="shared" si="22"/>
        <v>120</v>
      </c>
      <c r="U117" s="18">
        <f t="shared" si="20"/>
        <v>0.3269999999999995</v>
      </c>
      <c r="V117" s="45">
        <v>0</v>
      </c>
      <c r="W117" s="69">
        <f t="shared" si="23"/>
        <v>10.5</v>
      </c>
      <c r="X117" s="75">
        <f t="shared" si="24"/>
        <v>10.173</v>
      </c>
      <c r="Y117" s="140">
        <f>X117</f>
        <v>10.173</v>
      </c>
      <c r="Z117" s="152" t="str">
        <f>IF(Y117&lt;0,"закрыт","открыт")</f>
        <v>открыт</v>
      </c>
    </row>
    <row r="118" spans="1:26" s="88" customFormat="1" ht="11.25">
      <c r="A118" s="41">
        <v>83</v>
      </c>
      <c r="B118" s="73" t="s">
        <v>206</v>
      </c>
      <c r="C118" s="55" t="s">
        <v>16</v>
      </c>
      <c r="D118" s="45">
        <v>0.82</v>
      </c>
      <c r="E118" s="55">
        <v>0.39</v>
      </c>
      <c r="F118" s="55">
        <v>120</v>
      </c>
      <c r="G118" s="55">
        <f t="shared" si="27"/>
        <v>0.42999999999999994</v>
      </c>
      <c r="H118" s="55">
        <v>0</v>
      </c>
      <c r="I118" s="55">
        <f>10*1.05</f>
        <v>10.5</v>
      </c>
      <c r="J118" s="55">
        <f t="shared" si="19"/>
        <v>10.07</v>
      </c>
      <c r="K118" s="135"/>
      <c r="L118" s="136"/>
      <c r="M118" s="94"/>
      <c r="N118" s="150"/>
      <c r="O118" s="73" t="s">
        <v>206</v>
      </c>
      <c r="P118" s="55" t="s">
        <v>16</v>
      </c>
      <c r="Q118" s="102">
        <f>Q97</f>
        <v>0.175</v>
      </c>
      <c r="R118" s="71">
        <f t="shared" si="28"/>
        <v>0.9949999999999999</v>
      </c>
      <c r="S118" s="69">
        <f t="shared" si="21"/>
        <v>0.39</v>
      </c>
      <c r="T118" s="70">
        <f t="shared" si="22"/>
        <v>120</v>
      </c>
      <c r="U118" s="71">
        <f aca="true" t="shared" si="36" ref="U118:U181">R118-S118</f>
        <v>0.6049999999999999</v>
      </c>
      <c r="V118" s="55">
        <v>0</v>
      </c>
      <c r="W118" s="69">
        <f t="shared" si="23"/>
        <v>10.5</v>
      </c>
      <c r="X118" s="75">
        <f t="shared" si="24"/>
        <v>9.895</v>
      </c>
      <c r="Y118" s="125"/>
      <c r="Z118" s="138"/>
    </row>
    <row r="119" spans="1:26" s="17" customFormat="1" ht="11.25">
      <c r="A119" s="41"/>
      <c r="B119" s="61" t="s">
        <v>207</v>
      </c>
      <c r="C119" s="45" t="s">
        <v>16</v>
      </c>
      <c r="D119" s="45">
        <v>1.7</v>
      </c>
      <c r="E119" s="45">
        <v>2.16</v>
      </c>
      <c r="F119" s="45">
        <v>120</v>
      </c>
      <c r="G119" s="45">
        <f t="shared" si="27"/>
        <v>-0.4600000000000002</v>
      </c>
      <c r="H119" s="45">
        <v>0</v>
      </c>
      <c r="I119" s="45">
        <f>10*1.05</f>
        <v>10.5</v>
      </c>
      <c r="J119" s="45">
        <f t="shared" si="19"/>
        <v>10.96</v>
      </c>
      <c r="K119" s="135"/>
      <c r="L119" s="136"/>
      <c r="M119" s="94"/>
      <c r="N119" s="150"/>
      <c r="O119" s="61" t="s">
        <v>207</v>
      </c>
      <c r="P119" s="45" t="s">
        <v>16</v>
      </c>
      <c r="Q119" s="71">
        <v>0.182</v>
      </c>
      <c r="R119" s="18">
        <f t="shared" si="28"/>
        <v>1.882</v>
      </c>
      <c r="S119" s="69">
        <f t="shared" si="21"/>
        <v>2.16</v>
      </c>
      <c r="T119" s="70">
        <f t="shared" si="22"/>
        <v>120</v>
      </c>
      <c r="U119" s="18">
        <f t="shared" si="36"/>
        <v>-0.27800000000000025</v>
      </c>
      <c r="V119" s="45">
        <v>0</v>
      </c>
      <c r="W119" s="69">
        <f t="shared" si="23"/>
        <v>10.5</v>
      </c>
      <c r="X119" s="75">
        <f t="shared" si="24"/>
        <v>10.778</v>
      </c>
      <c r="Y119" s="126"/>
      <c r="Z119" s="139"/>
    </row>
    <row r="120" spans="1:26" s="17" customFormat="1" ht="11.25">
      <c r="A120" s="41"/>
      <c r="B120" s="61" t="s">
        <v>140</v>
      </c>
      <c r="C120" s="45" t="s">
        <v>25</v>
      </c>
      <c r="D120" s="45">
        <v>1.4</v>
      </c>
      <c r="E120" s="45">
        <v>1.1</v>
      </c>
      <c r="F120" s="45">
        <v>120</v>
      </c>
      <c r="G120" s="45">
        <f t="shared" si="27"/>
        <v>0.2999999999999998</v>
      </c>
      <c r="H120" s="45">
        <v>0</v>
      </c>
      <c r="I120" s="45">
        <f>1.6*1.05</f>
        <v>1.6800000000000002</v>
      </c>
      <c r="J120" s="45">
        <f t="shared" si="19"/>
        <v>1.3800000000000003</v>
      </c>
      <c r="K120" s="45">
        <f>J120</f>
        <v>1.3800000000000003</v>
      </c>
      <c r="L120" s="12" t="str">
        <f>IF(K120&lt;0,"закрыт","открыт")</f>
        <v>открыт</v>
      </c>
      <c r="M120" s="94"/>
      <c r="N120" s="41">
        <v>84</v>
      </c>
      <c r="O120" s="61" t="s">
        <v>140</v>
      </c>
      <c r="P120" s="45" t="s">
        <v>25</v>
      </c>
      <c r="Q120" s="71">
        <v>0.422</v>
      </c>
      <c r="R120" s="18">
        <f t="shared" si="28"/>
        <v>1.8219999999999998</v>
      </c>
      <c r="S120" s="69">
        <f t="shared" si="21"/>
        <v>1.1</v>
      </c>
      <c r="T120" s="70">
        <f t="shared" si="22"/>
        <v>120</v>
      </c>
      <c r="U120" s="18">
        <f t="shared" si="36"/>
        <v>0.7219999999999998</v>
      </c>
      <c r="V120" s="45">
        <v>0</v>
      </c>
      <c r="W120" s="69">
        <f t="shared" si="23"/>
        <v>1.6800000000000002</v>
      </c>
      <c r="X120" s="75">
        <f t="shared" si="24"/>
        <v>0.9580000000000004</v>
      </c>
      <c r="Y120" s="76">
        <f t="shared" si="25"/>
        <v>0.9580000000000004</v>
      </c>
      <c r="Z120" s="16" t="str">
        <f t="shared" si="26"/>
        <v>открыт</v>
      </c>
    </row>
    <row r="121" spans="1:26" s="17" customFormat="1" ht="22.5">
      <c r="A121" s="41">
        <v>84</v>
      </c>
      <c r="B121" s="61" t="s">
        <v>141</v>
      </c>
      <c r="C121" s="45" t="s">
        <v>23</v>
      </c>
      <c r="D121" s="45">
        <v>10.72</v>
      </c>
      <c r="E121" s="45">
        <v>0.74</v>
      </c>
      <c r="F121" s="45">
        <v>60</v>
      </c>
      <c r="G121" s="45">
        <f t="shared" si="27"/>
        <v>9.98</v>
      </c>
      <c r="H121" s="45">
        <v>0</v>
      </c>
      <c r="I121" s="45">
        <f>25*1.05</f>
        <v>26.25</v>
      </c>
      <c r="J121" s="45">
        <f t="shared" si="19"/>
        <v>16.27</v>
      </c>
      <c r="K121" s="45">
        <f>J121</f>
        <v>16.27</v>
      </c>
      <c r="L121" s="12" t="str">
        <f>IF(K121&lt;0,"закрыт","открыт")</f>
        <v>открыт</v>
      </c>
      <c r="M121" s="94"/>
      <c r="N121" s="41">
        <v>85</v>
      </c>
      <c r="O121" s="61" t="s">
        <v>141</v>
      </c>
      <c r="P121" s="45" t="s">
        <v>23</v>
      </c>
      <c r="Q121" s="71">
        <v>1.176</v>
      </c>
      <c r="R121" s="18">
        <f t="shared" si="28"/>
        <v>11.896</v>
      </c>
      <c r="S121" s="69">
        <f t="shared" si="21"/>
        <v>0.74</v>
      </c>
      <c r="T121" s="70">
        <f t="shared" si="22"/>
        <v>60</v>
      </c>
      <c r="U121" s="18">
        <f t="shared" si="36"/>
        <v>11.156</v>
      </c>
      <c r="V121" s="45">
        <v>0</v>
      </c>
      <c r="W121" s="69">
        <f t="shared" si="23"/>
        <v>26.25</v>
      </c>
      <c r="X121" s="75">
        <f t="shared" si="24"/>
        <v>15.094</v>
      </c>
      <c r="Y121" s="76">
        <f t="shared" si="25"/>
        <v>15.094</v>
      </c>
      <c r="Z121" s="16" t="str">
        <f t="shared" si="26"/>
        <v>открыт</v>
      </c>
    </row>
    <row r="122" spans="1:26" s="17" customFormat="1" ht="11.25">
      <c r="A122" s="41">
        <v>85</v>
      </c>
      <c r="B122" s="61" t="s">
        <v>142</v>
      </c>
      <c r="C122" s="45" t="s">
        <v>16</v>
      </c>
      <c r="D122" s="45">
        <v>9.07</v>
      </c>
      <c r="E122" s="45">
        <v>1.05</v>
      </c>
      <c r="F122" s="45">
        <v>90</v>
      </c>
      <c r="G122" s="45">
        <f t="shared" si="27"/>
        <v>8.02</v>
      </c>
      <c r="H122" s="45">
        <v>0</v>
      </c>
      <c r="I122" s="45">
        <f>10*1.05</f>
        <v>10.5</v>
      </c>
      <c r="J122" s="45">
        <f aca="true" t="shared" si="37" ref="J122:J185">I122-H122-G122</f>
        <v>2.4800000000000004</v>
      </c>
      <c r="K122" s="45">
        <f>J122</f>
        <v>2.4800000000000004</v>
      </c>
      <c r="L122" s="12" t="str">
        <f>IF(K122&lt;0,"закрыт","открыт")</f>
        <v>открыт</v>
      </c>
      <c r="M122" s="94"/>
      <c r="N122" s="41">
        <v>86</v>
      </c>
      <c r="O122" s="61" t="s">
        <v>142</v>
      </c>
      <c r="P122" s="45" t="s">
        <v>16</v>
      </c>
      <c r="Q122" s="71">
        <v>2.459</v>
      </c>
      <c r="R122" s="18">
        <f t="shared" si="28"/>
        <v>11.529</v>
      </c>
      <c r="S122" s="69">
        <f t="shared" si="21"/>
        <v>1.05</v>
      </c>
      <c r="T122" s="70">
        <f t="shared" si="22"/>
        <v>90</v>
      </c>
      <c r="U122" s="18">
        <f t="shared" si="36"/>
        <v>10.479</v>
      </c>
      <c r="V122" s="45">
        <v>0</v>
      </c>
      <c r="W122" s="69">
        <f t="shared" si="23"/>
        <v>10.5</v>
      </c>
      <c r="X122" s="75">
        <f t="shared" si="24"/>
        <v>0.021000000000000796</v>
      </c>
      <c r="Y122" s="76">
        <f t="shared" si="25"/>
        <v>0.021000000000000796</v>
      </c>
      <c r="Z122" s="16" t="str">
        <f t="shared" si="26"/>
        <v>открыт</v>
      </c>
    </row>
    <row r="123" spans="1:26" s="17" customFormat="1" ht="11.25">
      <c r="A123" s="41">
        <v>86</v>
      </c>
      <c r="B123" s="61" t="s">
        <v>143</v>
      </c>
      <c r="C123" s="45" t="s">
        <v>28</v>
      </c>
      <c r="D123" s="45">
        <v>9.81</v>
      </c>
      <c r="E123" s="45">
        <v>0</v>
      </c>
      <c r="F123" s="45" t="s">
        <v>209</v>
      </c>
      <c r="G123" s="45">
        <f t="shared" si="27"/>
        <v>9.81</v>
      </c>
      <c r="H123" s="45">
        <v>0</v>
      </c>
      <c r="I123" s="45">
        <f>40*1.05</f>
        <v>42</v>
      </c>
      <c r="J123" s="45">
        <f t="shared" si="37"/>
        <v>32.19</v>
      </c>
      <c r="K123" s="45">
        <f>J123</f>
        <v>32.19</v>
      </c>
      <c r="L123" s="12" t="str">
        <f>IF(K123&lt;0,"закрыт","открыт")</f>
        <v>открыт</v>
      </c>
      <c r="M123" s="94"/>
      <c r="N123" s="41">
        <v>87</v>
      </c>
      <c r="O123" s="61" t="s">
        <v>143</v>
      </c>
      <c r="P123" s="45" t="s">
        <v>28</v>
      </c>
      <c r="Q123" s="71">
        <v>0.721</v>
      </c>
      <c r="R123" s="18">
        <f t="shared" si="28"/>
        <v>10.531</v>
      </c>
      <c r="S123" s="69">
        <f t="shared" si="21"/>
        <v>0</v>
      </c>
      <c r="T123" s="70"/>
      <c r="U123" s="18">
        <f t="shared" si="36"/>
        <v>10.531</v>
      </c>
      <c r="V123" s="45">
        <v>0</v>
      </c>
      <c r="W123" s="69">
        <f t="shared" si="23"/>
        <v>42</v>
      </c>
      <c r="X123" s="75">
        <f t="shared" si="24"/>
        <v>31.469</v>
      </c>
      <c r="Y123" s="76">
        <f t="shared" si="25"/>
        <v>31.469</v>
      </c>
      <c r="Z123" s="16" t="str">
        <f t="shared" si="26"/>
        <v>открыт</v>
      </c>
    </row>
    <row r="124" spans="1:26" s="17" customFormat="1" ht="11.25">
      <c r="A124" s="41">
        <v>87</v>
      </c>
      <c r="B124" s="61" t="s">
        <v>144</v>
      </c>
      <c r="C124" s="45" t="s">
        <v>29</v>
      </c>
      <c r="D124" s="45">
        <v>10.51</v>
      </c>
      <c r="E124" s="45">
        <f>E125+E126</f>
        <v>4.65</v>
      </c>
      <c r="F124" s="45">
        <v>90</v>
      </c>
      <c r="G124" s="45">
        <f t="shared" si="27"/>
        <v>5.859999999999999</v>
      </c>
      <c r="H124" s="45">
        <v>0</v>
      </c>
      <c r="I124" s="45">
        <f>10*1.05</f>
        <v>10.5</v>
      </c>
      <c r="J124" s="45">
        <f t="shared" si="37"/>
        <v>4.640000000000001</v>
      </c>
      <c r="K124" s="135">
        <f>MIN(J124:J126)</f>
        <v>4.640000000000001</v>
      </c>
      <c r="L124" s="136" t="str">
        <f>IF(K124&lt;0,"закрыт","открыт")</f>
        <v>открыт</v>
      </c>
      <c r="M124" s="94"/>
      <c r="N124" s="150">
        <v>88</v>
      </c>
      <c r="O124" s="61" t="s">
        <v>144</v>
      </c>
      <c r="P124" s="45" t="s">
        <v>29</v>
      </c>
      <c r="Q124" s="71">
        <f>Q125+Q126</f>
        <v>0.346</v>
      </c>
      <c r="R124" s="18">
        <f>R125+R126</f>
        <v>10.846</v>
      </c>
      <c r="S124" s="69">
        <f t="shared" si="21"/>
        <v>4.65</v>
      </c>
      <c r="T124" s="70">
        <f t="shared" si="22"/>
        <v>90</v>
      </c>
      <c r="U124" s="18">
        <f t="shared" si="36"/>
        <v>6.196</v>
      </c>
      <c r="V124" s="45">
        <v>0</v>
      </c>
      <c r="W124" s="69">
        <f t="shared" si="23"/>
        <v>10.5</v>
      </c>
      <c r="X124" s="75">
        <f t="shared" si="24"/>
        <v>4.304</v>
      </c>
      <c r="Y124" s="140">
        <f>X124</f>
        <v>4.304</v>
      </c>
      <c r="Z124" s="152" t="str">
        <f>IF(Y124&lt;0,"закрыт","открыт")</f>
        <v>открыт</v>
      </c>
    </row>
    <row r="125" spans="1:26" s="17" customFormat="1" ht="11.25">
      <c r="A125" s="41">
        <v>88</v>
      </c>
      <c r="B125" s="61" t="s">
        <v>206</v>
      </c>
      <c r="C125" s="45" t="s">
        <v>29</v>
      </c>
      <c r="D125" s="45">
        <v>0</v>
      </c>
      <c r="E125" s="45">
        <v>0</v>
      </c>
      <c r="F125" s="45"/>
      <c r="G125" s="45">
        <f t="shared" si="27"/>
        <v>0</v>
      </c>
      <c r="H125" s="45">
        <v>0</v>
      </c>
      <c r="I125" s="45">
        <f>10*1.05</f>
        <v>10.5</v>
      </c>
      <c r="J125" s="45">
        <f t="shared" si="37"/>
        <v>10.5</v>
      </c>
      <c r="K125" s="135"/>
      <c r="L125" s="136"/>
      <c r="M125" s="94"/>
      <c r="N125" s="150"/>
      <c r="O125" s="61" t="s">
        <v>206</v>
      </c>
      <c r="P125" s="45" t="s">
        <v>29</v>
      </c>
      <c r="Q125" s="71">
        <v>0</v>
      </c>
      <c r="R125" s="18">
        <f t="shared" si="28"/>
        <v>0</v>
      </c>
      <c r="S125" s="69">
        <f aca="true" t="shared" si="38" ref="S125:T161">E125</f>
        <v>0</v>
      </c>
      <c r="T125" s="70"/>
      <c r="U125" s="18">
        <f t="shared" si="36"/>
        <v>0</v>
      </c>
      <c r="V125" s="45">
        <v>0</v>
      </c>
      <c r="W125" s="69">
        <f aca="true" t="shared" si="39" ref="W125:W188">I125</f>
        <v>10.5</v>
      </c>
      <c r="X125" s="75">
        <f aca="true" t="shared" si="40" ref="X125:X188">W125-V125-U125</f>
        <v>10.5</v>
      </c>
      <c r="Y125" s="125"/>
      <c r="Z125" s="138"/>
    </row>
    <row r="126" spans="1:26" s="17" customFormat="1" ht="11.25">
      <c r="A126" s="41"/>
      <c r="B126" s="61" t="s">
        <v>207</v>
      </c>
      <c r="C126" s="45" t="s">
        <v>29</v>
      </c>
      <c r="D126" s="45">
        <v>10.5</v>
      </c>
      <c r="E126" s="45">
        <v>4.65</v>
      </c>
      <c r="F126" s="45">
        <v>90</v>
      </c>
      <c r="G126" s="45">
        <f t="shared" si="27"/>
        <v>5.85</v>
      </c>
      <c r="H126" s="45">
        <v>0</v>
      </c>
      <c r="I126" s="45">
        <f>10*1.05</f>
        <v>10.5</v>
      </c>
      <c r="J126" s="45">
        <f t="shared" si="37"/>
        <v>4.65</v>
      </c>
      <c r="K126" s="135"/>
      <c r="L126" s="136"/>
      <c r="M126" s="94"/>
      <c r="N126" s="150"/>
      <c r="O126" s="61" t="s">
        <v>207</v>
      </c>
      <c r="P126" s="45" t="s">
        <v>29</v>
      </c>
      <c r="Q126" s="71">
        <v>0.346</v>
      </c>
      <c r="R126" s="18">
        <f t="shared" si="28"/>
        <v>10.846</v>
      </c>
      <c r="S126" s="69">
        <f t="shared" si="38"/>
        <v>4.65</v>
      </c>
      <c r="T126" s="70">
        <f t="shared" si="38"/>
        <v>90</v>
      </c>
      <c r="U126" s="18">
        <f t="shared" si="36"/>
        <v>6.196</v>
      </c>
      <c r="V126" s="45">
        <v>0</v>
      </c>
      <c r="W126" s="69">
        <f t="shared" si="39"/>
        <v>10.5</v>
      </c>
      <c r="X126" s="75">
        <f t="shared" si="40"/>
        <v>4.304</v>
      </c>
      <c r="Y126" s="126"/>
      <c r="Z126" s="139"/>
    </row>
    <row r="127" spans="1:26" s="17" customFormat="1" ht="22.5">
      <c r="A127" s="41"/>
      <c r="B127" s="61" t="s">
        <v>145</v>
      </c>
      <c r="C127" s="45" t="s">
        <v>30</v>
      </c>
      <c r="D127" s="45">
        <v>2.55</v>
      </c>
      <c r="E127" s="45">
        <f>E128+E129</f>
        <v>4.13</v>
      </c>
      <c r="F127" s="45">
        <v>120</v>
      </c>
      <c r="G127" s="45">
        <f t="shared" si="27"/>
        <v>-1.58</v>
      </c>
      <c r="H127" s="45">
        <v>0</v>
      </c>
      <c r="I127" s="19">
        <f>6.3*1.05</f>
        <v>6.615</v>
      </c>
      <c r="J127" s="19">
        <f t="shared" si="37"/>
        <v>8.195</v>
      </c>
      <c r="K127" s="135">
        <f>MIN(J127:J129)</f>
        <v>6.695</v>
      </c>
      <c r="L127" s="136" t="str">
        <f>IF(K127&lt;0,"закрыт","открыт")</f>
        <v>открыт</v>
      </c>
      <c r="M127" s="94"/>
      <c r="N127" s="150">
        <v>89</v>
      </c>
      <c r="O127" s="61" t="s">
        <v>145</v>
      </c>
      <c r="P127" s="45" t="s">
        <v>30</v>
      </c>
      <c r="Q127" s="71">
        <f>Q129+Q128</f>
        <v>0.23700000000000002</v>
      </c>
      <c r="R127" s="18">
        <f>R128+R129</f>
        <v>2.7969999999999997</v>
      </c>
      <c r="S127" s="69">
        <f t="shared" si="38"/>
        <v>4.13</v>
      </c>
      <c r="T127" s="70">
        <f t="shared" si="38"/>
        <v>120</v>
      </c>
      <c r="U127" s="18">
        <f t="shared" si="36"/>
        <v>-1.3330000000000002</v>
      </c>
      <c r="V127" s="45">
        <v>0</v>
      </c>
      <c r="W127" s="69">
        <f t="shared" si="39"/>
        <v>6.615</v>
      </c>
      <c r="X127" s="75">
        <f t="shared" si="40"/>
        <v>7.948</v>
      </c>
      <c r="Y127" s="140">
        <f>X127</f>
        <v>7.948</v>
      </c>
      <c r="Z127" s="152" t="str">
        <f>IF(Y127&lt;0,"закрыт","открыт")</f>
        <v>открыт</v>
      </c>
    </row>
    <row r="128" spans="1:26" s="17" customFormat="1" ht="11.25">
      <c r="A128" s="41">
        <v>89</v>
      </c>
      <c r="B128" s="61" t="s">
        <v>206</v>
      </c>
      <c r="C128" s="45" t="s">
        <v>30</v>
      </c>
      <c r="D128" s="45">
        <v>2.32</v>
      </c>
      <c r="E128" s="45">
        <v>2.4</v>
      </c>
      <c r="F128" s="45">
        <v>120</v>
      </c>
      <c r="G128" s="45">
        <f t="shared" si="27"/>
        <v>-0.08000000000000007</v>
      </c>
      <c r="H128" s="45">
        <v>0</v>
      </c>
      <c r="I128" s="19">
        <f>6.3*1.05</f>
        <v>6.615</v>
      </c>
      <c r="J128" s="19">
        <f t="shared" si="37"/>
        <v>6.695</v>
      </c>
      <c r="K128" s="135"/>
      <c r="L128" s="136"/>
      <c r="M128" s="94"/>
      <c r="N128" s="150"/>
      <c r="O128" s="61" t="s">
        <v>206</v>
      </c>
      <c r="P128" s="45" t="s">
        <v>30</v>
      </c>
      <c r="Q128" s="71">
        <f>Q159+Q35+Q36+Q145+Q37</f>
        <v>0.23700000000000002</v>
      </c>
      <c r="R128" s="18">
        <f t="shared" si="28"/>
        <v>2.557</v>
      </c>
      <c r="S128" s="69">
        <f t="shared" si="38"/>
        <v>2.4</v>
      </c>
      <c r="T128" s="70">
        <f t="shared" si="38"/>
        <v>120</v>
      </c>
      <c r="U128" s="18">
        <f t="shared" si="36"/>
        <v>0.15700000000000003</v>
      </c>
      <c r="V128" s="45">
        <v>0</v>
      </c>
      <c r="W128" s="69">
        <f t="shared" si="39"/>
        <v>6.615</v>
      </c>
      <c r="X128" s="75">
        <f t="shared" si="40"/>
        <v>6.458</v>
      </c>
      <c r="Y128" s="125"/>
      <c r="Z128" s="138"/>
    </row>
    <row r="129" spans="1:26" s="17" customFormat="1" ht="11.25">
      <c r="A129" s="41"/>
      <c r="B129" s="61" t="s">
        <v>207</v>
      </c>
      <c r="C129" s="45" t="s">
        <v>30</v>
      </c>
      <c r="D129" s="45">
        <v>0.24</v>
      </c>
      <c r="E129" s="45">
        <v>1.73</v>
      </c>
      <c r="F129" s="45">
        <v>120</v>
      </c>
      <c r="G129" s="45">
        <f t="shared" si="27"/>
        <v>-1.49</v>
      </c>
      <c r="H129" s="45">
        <v>0</v>
      </c>
      <c r="I129" s="19">
        <f>6.3*1.05</f>
        <v>6.615</v>
      </c>
      <c r="J129" s="19">
        <f t="shared" si="37"/>
        <v>8.105</v>
      </c>
      <c r="K129" s="135"/>
      <c r="L129" s="136"/>
      <c r="M129" s="94"/>
      <c r="N129" s="150"/>
      <c r="O129" s="61" t="s">
        <v>207</v>
      </c>
      <c r="P129" s="45" t="s">
        <v>30</v>
      </c>
      <c r="Q129" s="71">
        <v>0</v>
      </c>
      <c r="R129" s="18">
        <f t="shared" si="28"/>
        <v>0.24</v>
      </c>
      <c r="S129" s="69">
        <f t="shared" si="38"/>
        <v>1.73</v>
      </c>
      <c r="T129" s="70">
        <f t="shared" si="38"/>
        <v>120</v>
      </c>
      <c r="U129" s="18">
        <f t="shared" si="36"/>
        <v>-1.49</v>
      </c>
      <c r="V129" s="45">
        <v>0</v>
      </c>
      <c r="W129" s="69">
        <f t="shared" si="39"/>
        <v>6.615</v>
      </c>
      <c r="X129" s="75">
        <f t="shared" si="40"/>
        <v>8.105</v>
      </c>
      <c r="Y129" s="126"/>
      <c r="Z129" s="139"/>
    </row>
    <row r="130" spans="1:26" s="17" customFormat="1" ht="11.25">
      <c r="A130" s="41"/>
      <c r="B130" s="61" t="s">
        <v>146</v>
      </c>
      <c r="C130" s="45" t="s">
        <v>20</v>
      </c>
      <c r="D130" s="45">
        <v>2.33</v>
      </c>
      <c r="E130" s="45">
        <v>1.83</v>
      </c>
      <c r="F130" s="45">
        <v>120</v>
      </c>
      <c r="G130" s="45">
        <f t="shared" si="27"/>
        <v>0.5</v>
      </c>
      <c r="H130" s="45">
        <v>0</v>
      </c>
      <c r="I130" s="19">
        <f>6.3*1.05</f>
        <v>6.615</v>
      </c>
      <c r="J130" s="19">
        <f t="shared" si="37"/>
        <v>6.115</v>
      </c>
      <c r="K130" s="19">
        <f>J130</f>
        <v>6.115</v>
      </c>
      <c r="L130" s="12" t="str">
        <f>IF(K130&lt;0,"закрыт","открыт")</f>
        <v>открыт</v>
      </c>
      <c r="M130" s="94"/>
      <c r="N130" s="41">
        <v>90</v>
      </c>
      <c r="O130" s="61" t="s">
        <v>146</v>
      </c>
      <c r="P130" s="45" t="s">
        <v>20</v>
      </c>
      <c r="Q130" s="71">
        <v>2.825</v>
      </c>
      <c r="R130" s="18">
        <f t="shared" si="28"/>
        <v>5.155</v>
      </c>
      <c r="S130" s="69">
        <f t="shared" si="38"/>
        <v>1.83</v>
      </c>
      <c r="T130" s="70">
        <f t="shared" si="38"/>
        <v>120</v>
      </c>
      <c r="U130" s="18">
        <f t="shared" si="36"/>
        <v>3.325</v>
      </c>
      <c r="V130" s="45">
        <v>0</v>
      </c>
      <c r="W130" s="69">
        <f t="shared" si="39"/>
        <v>6.615</v>
      </c>
      <c r="X130" s="75">
        <f t="shared" si="40"/>
        <v>3.29</v>
      </c>
      <c r="Y130" s="76">
        <f aca="true" t="shared" si="41" ref="Y130:Y188">X130</f>
        <v>3.29</v>
      </c>
      <c r="Z130" s="16" t="str">
        <f aca="true" t="shared" si="42" ref="Z130:Z188">IF(Y130&lt;0,"закрыт","открыт")</f>
        <v>открыт</v>
      </c>
    </row>
    <row r="131" spans="1:26" s="17" customFormat="1" ht="11.25">
      <c r="A131" s="41">
        <v>90</v>
      </c>
      <c r="B131" s="61" t="s">
        <v>147</v>
      </c>
      <c r="C131" s="45" t="s">
        <v>29</v>
      </c>
      <c r="D131" s="45">
        <v>5.94</v>
      </c>
      <c r="E131" s="45">
        <f>E132+E133</f>
        <v>3.95</v>
      </c>
      <c r="F131" s="45">
        <v>120</v>
      </c>
      <c r="G131" s="45">
        <f t="shared" si="27"/>
        <v>1.9900000000000002</v>
      </c>
      <c r="H131" s="45">
        <v>0</v>
      </c>
      <c r="I131" s="45">
        <f>10*1.05</f>
        <v>10.5</v>
      </c>
      <c r="J131" s="45">
        <f t="shared" si="37"/>
        <v>8.51</v>
      </c>
      <c r="K131" s="135">
        <f>MIN(J131:J133)</f>
        <v>8.51</v>
      </c>
      <c r="L131" s="136" t="str">
        <f>IF(K131&lt;0,"закрыт","открыт")</f>
        <v>открыт</v>
      </c>
      <c r="M131" s="94"/>
      <c r="N131" s="150">
        <v>91</v>
      </c>
      <c r="O131" s="61" t="s">
        <v>147</v>
      </c>
      <c r="P131" s="45" t="s">
        <v>29</v>
      </c>
      <c r="Q131" s="18">
        <f>Q133+Q132</f>
        <v>0.833</v>
      </c>
      <c r="R131" s="18">
        <f>R132+R133</f>
        <v>6.743</v>
      </c>
      <c r="S131" s="69">
        <f t="shared" si="38"/>
        <v>3.95</v>
      </c>
      <c r="T131" s="70">
        <f t="shared" si="38"/>
        <v>120</v>
      </c>
      <c r="U131" s="18">
        <f t="shared" si="36"/>
        <v>2.793</v>
      </c>
      <c r="V131" s="45">
        <v>0</v>
      </c>
      <c r="W131" s="69">
        <f t="shared" si="39"/>
        <v>10.5</v>
      </c>
      <c r="X131" s="75">
        <f t="shared" si="40"/>
        <v>7.707</v>
      </c>
      <c r="Y131" s="140">
        <f t="shared" si="41"/>
        <v>7.707</v>
      </c>
      <c r="Z131" s="152" t="str">
        <f t="shared" si="42"/>
        <v>открыт</v>
      </c>
    </row>
    <row r="132" spans="1:26" s="88" customFormat="1" ht="11.25">
      <c r="A132" s="41">
        <v>91</v>
      </c>
      <c r="B132" s="73" t="s">
        <v>206</v>
      </c>
      <c r="C132" s="55" t="s">
        <v>29</v>
      </c>
      <c r="D132" s="45">
        <v>2.48</v>
      </c>
      <c r="E132" s="55">
        <v>2.39</v>
      </c>
      <c r="F132" s="55">
        <v>120</v>
      </c>
      <c r="G132" s="55">
        <f t="shared" si="27"/>
        <v>0.08999999999999986</v>
      </c>
      <c r="H132" s="55">
        <v>0</v>
      </c>
      <c r="I132" s="55">
        <f>10*1.05</f>
        <v>10.5</v>
      </c>
      <c r="J132" s="55">
        <f t="shared" si="37"/>
        <v>10.41</v>
      </c>
      <c r="K132" s="135"/>
      <c r="L132" s="136"/>
      <c r="M132" s="94"/>
      <c r="N132" s="150"/>
      <c r="O132" s="73" t="s">
        <v>206</v>
      </c>
      <c r="P132" s="55" t="s">
        <v>29</v>
      </c>
      <c r="Q132" s="18">
        <f>Q147+Q148+Q149+Q150+Q38</f>
        <v>0.078</v>
      </c>
      <c r="R132" s="71">
        <f t="shared" si="28"/>
        <v>2.558</v>
      </c>
      <c r="S132" s="69">
        <f t="shared" si="38"/>
        <v>2.39</v>
      </c>
      <c r="T132" s="70">
        <f t="shared" si="38"/>
        <v>120</v>
      </c>
      <c r="U132" s="71">
        <f t="shared" si="36"/>
        <v>0.1679999999999997</v>
      </c>
      <c r="V132" s="55">
        <v>0</v>
      </c>
      <c r="W132" s="69">
        <f t="shared" si="39"/>
        <v>10.5</v>
      </c>
      <c r="X132" s="75">
        <f t="shared" si="40"/>
        <v>10.332</v>
      </c>
      <c r="Y132" s="125"/>
      <c r="Z132" s="138"/>
    </row>
    <row r="133" spans="1:26" s="17" customFormat="1" ht="11.25">
      <c r="A133" s="41"/>
      <c r="B133" s="61" t="s">
        <v>207</v>
      </c>
      <c r="C133" s="45" t="s">
        <v>29</v>
      </c>
      <c r="D133" s="45">
        <v>3.43</v>
      </c>
      <c r="E133" s="45">
        <v>1.56</v>
      </c>
      <c r="F133" s="45">
        <v>120</v>
      </c>
      <c r="G133" s="45">
        <f aca="true" t="shared" si="43" ref="G133:G196">D133-E133</f>
        <v>1.87</v>
      </c>
      <c r="H133" s="45">
        <v>0</v>
      </c>
      <c r="I133" s="45">
        <f>10*1.05</f>
        <v>10.5</v>
      </c>
      <c r="J133" s="45">
        <f t="shared" si="37"/>
        <v>8.629999999999999</v>
      </c>
      <c r="K133" s="135"/>
      <c r="L133" s="136"/>
      <c r="M133" s="94"/>
      <c r="N133" s="150"/>
      <c r="O133" s="61" t="s">
        <v>207</v>
      </c>
      <c r="P133" s="45" t="s">
        <v>29</v>
      </c>
      <c r="Q133" s="18">
        <v>0.755</v>
      </c>
      <c r="R133" s="18">
        <f t="shared" si="28"/>
        <v>4.1850000000000005</v>
      </c>
      <c r="S133" s="69">
        <f t="shared" si="38"/>
        <v>1.56</v>
      </c>
      <c r="T133" s="70">
        <f t="shared" si="38"/>
        <v>120</v>
      </c>
      <c r="U133" s="18">
        <f t="shared" si="36"/>
        <v>2.6250000000000004</v>
      </c>
      <c r="V133" s="45">
        <v>0</v>
      </c>
      <c r="W133" s="69">
        <f t="shared" si="39"/>
        <v>10.5</v>
      </c>
      <c r="X133" s="75">
        <f t="shared" si="40"/>
        <v>7.875</v>
      </c>
      <c r="Y133" s="126"/>
      <c r="Z133" s="139"/>
    </row>
    <row r="134" spans="1:26" s="17" customFormat="1" ht="11.25">
      <c r="A134" s="41"/>
      <c r="B134" s="61" t="s">
        <v>148</v>
      </c>
      <c r="C134" s="45" t="s">
        <v>17</v>
      </c>
      <c r="D134" s="45">
        <v>0.34</v>
      </c>
      <c r="E134" s="45">
        <v>0.66</v>
      </c>
      <c r="F134" s="45">
        <v>120</v>
      </c>
      <c r="G134" s="45">
        <f t="shared" si="43"/>
        <v>-0.32</v>
      </c>
      <c r="H134" s="45">
        <v>0</v>
      </c>
      <c r="I134" s="19">
        <f>2.5*1.05</f>
        <v>2.625</v>
      </c>
      <c r="J134" s="19">
        <f t="shared" si="37"/>
        <v>2.945</v>
      </c>
      <c r="K134" s="19">
        <f>J134</f>
        <v>2.945</v>
      </c>
      <c r="L134" s="12" t="str">
        <f>IF(K134&lt;0,"закрыт","открыт")</f>
        <v>открыт</v>
      </c>
      <c r="M134" s="94"/>
      <c r="N134" s="41">
        <v>92</v>
      </c>
      <c r="O134" s="61" t="s">
        <v>148</v>
      </c>
      <c r="P134" s="45" t="s">
        <v>17</v>
      </c>
      <c r="Q134" s="18">
        <v>0.165</v>
      </c>
      <c r="R134" s="18">
        <f aca="true" t="shared" si="44" ref="R134:R197">Q134+D134</f>
        <v>0.505</v>
      </c>
      <c r="S134" s="69">
        <f t="shared" si="38"/>
        <v>0.66</v>
      </c>
      <c r="T134" s="70">
        <f t="shared" si="38"/>
        <v>120</v>
      </c>
      <c r="U134" s="18">
        <f t="shared" si="36"/>
        <v>-0.15500000000000003</v>
      </c>
      <c r="V134" s="45">
        <v>0</v>
      </c>
      <c r="W134" s="69">
        <f t="shared" si="39"/>
        <v>2.625</v>
      </c>
      <c r="X134" s="75">
        <f t="shared" si="40"/>
        <v>2.7800000000000002</v>
      </c>
      <c r="Y134" s="76">
        <f t="shared" si="41"/>
        <v>2.7800000000000002</v>
      </c>
      <c r="Z134" s="16" t="str">
        <f t="shared" si="42"/>
        <v>открыт</v>
      </c>
    </row>
    <row r="135" spans="1:26" s="17" customFormat="1" ht="11.25">
      <c r="A135" s="41">
        <v>92</v>
      </c>
      <c r="B135" s="61" t="s">
        <v>149</v>
      </c>
      <c r="C135" s="45" t="s">
        <v>16</v>
      </c>
      <c r="D135" s="45">
        <v>8.61</v>
      </c>
      <c r="E135" s="45">
        <f>E136+E137</f>
        <v>4.1</v>
      </c>
      <c r="F135" s="45">
        <v>120</v>
      </c>
      <c r="G135" s="45">
        <f t="shared" si="43"/>
        <v>4.51</v>
      </c>
      <c r="H135" s="45">
        <v>0</v>
      </c>
      <c r="I135" s="45">
        <f>10*1.05</f>
        <v>10.5</v>
      </c>
      <c r="J135" s="45">
        <f t="shared" si="37"/>
        <v>5.99</v>
      </c>
      <c r="K135" s="135">
        <f>MIN(J135:J137)</f>
        <v>5.99</v>
      </c>
      <c r="L135" s="136" t="str">
        <f>IF(K135&lt;0,"закрыт","открыт")</f>
        <v>открыт</v>
      </c>
      <c r="M135" s="94"/>
      <c r="N135" s="150">
        <v>93</v>
      </c>
      <c r="O135" s="61" t="s">
        <v>149</v>
      </c>
      <c r="P135" s="45" t="s">
        <v>16</v>
      </c>
      <c r="Q135" s="18">
        <f>Q136+Q137</f>
        <v>0.8730000000000001</v>
      </c>
      <c r="R135" s="18">
        <f>R136+R137</f>
        <v>9.482999999999999</v>
      </c>
      <c r="S135" s="69">
        <f t="shared" si="38"/>
        <v>4.1</v>
      </c>
      <c r="T135" s="70">
        <f t="shared" si="38"/>
        <v>120</v>
      </c>
      <c r="U135" s="18">
        <f t="shared" si="36"/>
        <v>5.382999999999999</v>
      </c>
      <c r="V135" s="45">
        <v>0</v>
      </c>
      <c r="W135" s="69">
        <f t="shared" si="39"/>
        <v>10.5</v>
      </c>
      <c r="X135" s="75">
        <f t="shared" si="40"/>
        <v>5.117000000000001</v>
      </c>
      <c r="Y135" s="140">
        <f t="shared" si="41"/>
        <v>5.117000000000001</v>
      </c>
      <c r="Z135" s="152" t="str">
        <f t="shared" si="42"/>
        <v>открыт</v>
      </c>
    </row>
    <row r="136" spans="1:26" s="17" customFormat="1" ht="11.25">
      <c r="A136" s="41">
        <v>93</v>
      </c>
      <c r="B136" s="61" t="s">
        <v>206</v>
      </c>
      <c r="C136" s="45" t="s">
        <v>16</v>
      </c>
      <c r="D136" s="45">
        <v>3.01</v>
      </c>
      <c r="E136" s="45">
        <v>2.45</v>
      </c>
      <c r="F136" s="45">
        <v>120</v>
      </c>
      <c r="G136" s="45">
        <f t="shared" si="43"/>
        <v>0.5599999999999996</v>
      </c>
      <c r="H136" s="45">
        <v>0</v>
      </c>
      <c r="I136" s="45">
        <f aca="true" t="shared" si="45" ref="I136:I143">10*1.05</f>
        <v>10.5</v>
      </c>
      <c r="J136" s="45">
        <f t="shared" si="37"/>
        <v>9.940000000000001</v>
      </c>
      <c r="K136" s="135"/>
      <c r="L136" s="136"/>
      <c r="M136" s="94"/>
      <c r="N136" s="150"/>
      <c r="O136" s="61" t="s">
        <v>206</v>
      </c>
      <c r="P136" s="45" t="s">
        <v>16</v>
      </c>
      <c r="Q136" s="18">
        <f>Q144+Q152+Q153+Q151+Q34+Q39</f>
        <v>0.8180000000000001</v>
      </c>
      <c r="R136" s="18">
        <f t="shared" si="44"/>
        <v>3.828</v>
      </c>
      <c r="S136" s="69">
        <f t="shared" si="38"/>
        <v>2.45</v>
      </c>
      <c r="T136" s="70">
        <f t="shared" si="38"/>
        <v>120</v>
      </c>
      <c r="U136" s="18">
        <f t="shared" si="36"/>
        <v>1.3779999999999997</v>
      </c>
      <c r="V136" s="45">
        <v>0</v>
      </c>
      <c r="W136" s="69">
        <f t="shared" si="39"/>
        <v>10.5</v>
      </c>
      <c r="X136" s="75">
        <f t="shared" si="40"/>
        <v>9.122</v>
      </c>
      <c r="Y136" s="125"/>
      <c r="Z136" s="138"/>
    </row>
    <row r="137" spans="1:26" s="17" customFormat="1" ht="11.25">
      <c r="A137" s="41"/>
      <c r="B137" s="61" t="s">
        <v>207</v>
      </c>
      <c r="C137" s="45" t="s">
        <v>16</v>
      </c>
      <c r="D137" s="45">
        <v>5.6</v>
      </c>
      <c r="E137" s="45">
        <v>1.65</v>
      </c>
      <c r="F137" s="45">
        <v>120</v>
      </c>
      <c r="G137" s="45">
        <f t="shared" si="43"/>
        <v>3.9499999999999997</v>
      </c>
      <c r="H137" s="45">
        <v>0</v>
      </c>
      <c r="I137" s="45">
        <f t="shared" si="45"/>
        <v>10.5</v>
      </c>
      <c r="J137" s="45">
        <f t="shared" si="37"/>
        <v>6.550000000000001</v>
      </c>
      <c r="K137" s="135"/>
      <c r="L137" s="136"/>
      <c r="M137" s="94"/>
      <c r="N137" s="150"/>
      <c r="O137" s="61" t="s">
        <v>207</v>
      </c>
      <c r="P137" s="45" t="s">
        <v>16</v>
      </c>
      <c r="Q137" s="18">
        <v>0.055</v>
      </c>
      <c r="R137" s="18">
        <f t="shared" si="44"/>
        <v>5.654999999999999</v>
      </c>
      <c r="S137" s="69">
        <f t="shared" si="38"/>
        <v>1.65</v>
      </c>
      <c r="T137" s="70">
        <f t="shared" si="38"/>
        <v>120</v>
      </c>
      <c r="U137" s="18">
        <f t="shared" si="36"/>
        <v>4.004999999999999</v>
      </c>
      <c r="V137" s="45">
        <v>0</v>
      </c>
      <c r="W137" s="69">
        <f t="shared" si="39"/>
        <v>10.5</v>
      </c>
      <c r="X137" s="75">
        <f t="shared" si="40"/>
        <v>6.495000000000001</v>
      </c>
      <c r="Y137" s="126"/>
      <c r="Z137" s="139"/>
    </row>
    <row r="138" spans="1:26" s="17" customFormat="1" ht="11.25">
      <c r="A138" s="41"/>
      <c r="B138" s="61" t="s">
        <v>150</v>
      </c>
      <c r="C138" s="45" t="s">
        <v>16</v>
      </c>
      <c r="D138" s="45">
        <v>4.69</v>
      </c>
      <c r="E138" s="45">
        <f>E139+E140</f>
        <v>2.98</v>
      </c>
      <c r="F138" s="45">
        <v>120</v>
      </c>
      <c r="G138" s="45">
        <f t="shared" si="43"/>
        <v>1.7100000000000004</v>
      </c>
      <c r="H138" s="45">
        <v>0</v>
      </c>
      <c r="I138" s="45">
        <f t="shared" si="45"/>
        <v>10.5</v>
      </c>
      <c r="J138" s="45">
        <f t="shared" si="37"/>
        <v>8.79</v>
      </c>
      <c r="K138" s="135">
        <f>MIN(J138:J140)</f>
        <v>8.79</v>
      </c>
      <c r="L138" s="136" t="str">
        <f>IF(K138&lt;0,"закрыт","открыт")</f>
        <v>открыт</v>
      </c>
      <c r="M138" s="94"/>
      <c r="N138" s="150">
        <v>94</v>
      </c>
      <c r="O138" s="61" t="s">
        <v>150</v>
      </c>
      <c r="P138" s="45" t="s">
        <v>16</v>
      </c>
      <c r="Q138" s="71">
        <f>Q140+Q139</f>
        <v>0.123</v>
      </c>
      <c r="R138" s="18">
        <f>R139+R140</f>
        <v>4.813</v>
      </c>
      <c r="S138" s="69">
        <f t="shared" si="38"/>
        <v>2.98</v>
      </c>
      <c r="T138" s="70">
        <f t="shared" si="38"/>
        <v>120</v>
      </c>
      <c r="U138" s="18">
        <f t="shared" si="36"/>
        <v>1.8329999999999997</v>
      </c>
      <c r="V138" s="45">
        <v>0</v>
      </c>
      <c r="W138" s="69">
        <f t="shared" si="39"/>
        <v>10.5</v>
      </c>
      <c r="X138" s="75">
        <f t="shared" si="40"/>
        <v>8.667</v>
      </c>
      <c r="Y138" s="140">
        <f>X138</f>
        <v>8.667</v>
      </c>
      <c r="Z138" s="152" t="str">
        <f>IF(Y138&lt;0,"закрыт","открыт")</f>
        <v>открыт</v>
      </c>
    </row>
    <row r="139" spans="1:26" s="17" customFormat="1" ht="11.25">
      <c r="A139" s="41">
        <v>94</v>
      </c>
      <c r="B139" s="61" t="s">
        <v>206</v>
      </c>
      <c r="C139" s="45" t="s">
        <v>16</v>
      </c>
      <c r="D139" s="45">
        <v>2.4</v>
      </c>
      <c r="E139" s="45">
        <v>1.46</v>
      </c>
      <c r="F139" s="45">
        <v>120</v>
      </c>
      <c r="G139" s="45">
        <f t="shared" si="43"/>
        <v>0.94</v>
      </c>
      <c r="H139" s="45">
        <v>0</v>
      </c>
      <c r="I139" s="45">
        <f t="shared" si="45"/>
        <v>10.5</v>
      </c>
      <c r="J139" s="45">
        <f t="shared" si="37"/>
        <v>9.56</v>
      </c>
      <c r="K139" s="135"/>
      <c r="L139" s="136"/>
      <c r="M139" s="94"/>
      <c r="N139" s="150"/>
      <c r="O139" s="61" t="s">
        <v>206</v>
      </c>
      <c r="P139" s="45" t="s">
        <v>16</v>
      </c>
      <c r="Q139" s="71">
        <f>Q155+Q154+Q158</f>
        <v>0.074</v>
      </c>
      <c r="R139" s="18">
        <f t="shared" si="44"/>
        <v>2.4739999999999998</v>
      </c>
      <c r="S139" s="69">
        <f t="shared" si="38"/>
        <v>1.46</v>
      </c>
      <c r="T139" s="70">
        <f t="shared" si="38"/>
        <v>120</v>
      </c>
      <c r="U139" s="18">
        <f t="shared" si="36"/>
        <v>1.0139999999999998</v>
      </c>
      <c r="V139" s="45">
        <v>0</v>
      </c>
      <c r="W139" s="69">
        <f t="shared" si="39"/>
        <v>10.5</v>
      </c>
      <c r="X139" s="75">
        <f t="shared" si="40"/>
        <v>9.486</v>
      </c>
      <c r="Y139" s="125"/>
      <c r="Z139" s="138"/>
    </row>
    <row r="140" spans="1:26" s="17" customFormat="1" ht="11.25">
      <c r="A140" s="41"/>
      <c r="B140" s="61" t="s">
        <v>207</v>
      </c>
      <c r="C140" s="45" t="s">
        <v>16</v>
      </c>
      <c r="D140" s="45">
        <v>2.29</v>
      </c>
      <c r="E140" s="45">
        <v>1.52</v>
      </c>
      <c r="F140" s="45">
        <v>120</v>
      </c>
      <c r="G140" s="45">
        <f t="shared" si="43"/>
        <v>0.77</v>
      </c>
      <c r="H140" s="45">
        <v>0</v>
      </c>
      <c r="I140" s="45">
        <f t="shared" si="45"/>
        <v>10.5</v>
      </c>
      <c r="J140" s="45">
        <f t="shared" si="37"/>
        <v>9.73</v>
      </c>
      <c r="K140" s="135"/>
      <c r="L140" s="136"/>
      <c r="M140" s="94"/>
      <c r="N140" s="150"/>
      <c r="O140" s="61" t="s">
        <v>207</v>
      </c>
      <c r="P140" s="45" t="s">
        <v>16</v>
      </c>
      <c r="Q140" s="18">
        <v>0.049</v>
      </c>
      <c r="R140" s="18">
        <f t="shared" si="44"/>
        <v>2.339</v>
      </c>
      <c r="S140" s="69">
        <f t="shared" si="38"/>
        <v>1.52</v>
      </c>
      <c r="T140" s="70">
        <f t="shared" si="38"/>
        <v>120</v>
      </c>
      <c r="U140" s="18">
        <f t="shared" si="36"/>
        <v>0.819</v>
      </c>
      <c r="V140" s="45">
        <v>0</v>
      </c>
      <c r="W140" s="69">
        <f t="shared" si="39"/>
        <v>10.5</v>
      </c>
      <c r="X140" s="75">
        <f t="shared" si="40"/>
        <v>9.681000000000001</v>
      </c>
      <c r="Y140" s="126"/>
      <c r="Z140" s="139"/>
    </row>
    <row r="141" spans="1:26" s="17" customFormat="1" ht="22.5">
      <c r="A141" s="41"/>
      <c r="B141" s="61" t="s">
        <v>151</v>
      </c>
      <c r="C141" s="45" t="s">
        <v>16</v>
      </c>
      <c r="D141" s="45">
        <v>2.2</v>
      </c>
      <c r="E141" s="45">
        <f>E142+E143</f>
        <v>1.78</v>
      </c>
      <c r="F141" s="45">
        <v>120</v>
      </c>
      <c r="G141" s="45">
        <f t="shared" si="43"/>
        <v>0.42000000000000015</v>
      </c>
      <c r="H141" s="45">
        <v>0</v>
      </c>
      <c r="I141" s="45">
        <f t="shared" si="45"/>
        <v>10.5</v>
      </c>
      <c r="J141" s="45">
        <f t="shared" si="37"/>
        <v>10.08</v>
      </c>
      <c r="K141" s="135">
        <f>MIN(J141:J143)</f>
        <v>10.08</v>
      </c>
      <c r="L141" s="136" t="str">
        <f>IF(K141&lt;0,"закрыт","открыт")</f>
        <v>открыт</v>
      </c>
      <c r="M141" s="94"/>
      <c r="N141" s="150">
        <v>95</v>
      </c>
      <c r="O141" s="61" t="s">
        <v>151</v>
      </c>
      <c r="P141" s="45" t="s">
        <v>16</v>
      </c>
      <c r="Q141" s="18">
        <f>Q143+Q142</f>
        <v>0.096</v>
      </c>
      <c r="R141" s="18">
        <f>R142+R143</f>
        <v>2.2960000000000003</v>
      </c>
      <c r="S141" s="69">
        <f t="shared" si="38"/>
        <v>1.78</v>
      </c>
      <c r="T141" s="70">
        <f t="shared" si="38"/>
        <v>120</v>
      </c>
      <c r="U141" s="18">
        <f t="shared" si="36"/>
        <v>0.5160000000000002</v>
      </c>
      <c r="V141" s="45">
        <v>0</v>
      </c>
      <c r="W141" s="69">
        <f t="shared" si="39"/>
        <v>10.5</v>
      </c>
      <c r="X141" s="75">
        <f t="shared" si="40"/>
        <v>9.984</v>
      </c>
      <c r="Y141" s="140">
        <f>X141</f>
        <v>9.984</v>
      </c>
      <c r="Z141" s="152" t="str">
        <f>IF(Y141&lt;0,"закрыт","открыт")</f>
        <v>открыт</v>
      </c>
    </row>
    <row r="142" spans="1:26" s="17" customFormat="1" ht="11.25">
      <c r="A142" s="41">
        <v>95</v>
      </c>
      <c r="B142" s="61" t="s">
        <v>206</v>
      </c>
      <c r="C142" s="45" t="s">
        <v>16</v>
      </c>
      <c r="D142" s="45">
        <v>0.49</v>
      </c>
      <c r="E142" s="45">
        <v>0.34</v>
      </c>
      <c r="F142" s="45">
        <v>120</v>
      </c>
      <c r="G142" s="45">
        <f t="shared" si="43"/>
        <v>0.14999999999999997</v>
      </c>
      <c r="H142" s="45">
        <v>0</v>
      </c>
      <c r="I142" s="45">
        <f t="shared" si="45"/>
        <v>10.5</v>
      </c>
      <c r="J142" s="45">
        <f t="shared" si="37"/>
        <v>10.35</v>
      </c>
      <c r="K142" s="135"/>
      <c r="L142" s="136"/>
      <c r="M142" s="94"/>
      <c r="N142" s="150"/>
      <c r="O142" s="61" t="s">
        <v>206</v>
      </c>
      <c r="P142" s="45" t="s">
        <v>16</v>
      </c>
      <c r="Q142" s="18">
        <f>Q156+Q40</f>
        <v>0.018</v>
      </c>
      <c r="R142" s="18">
        <f t="shared" si="44"/>
        <v>0.508</v>
      </c>
      <c r="S142" s="69">
        <f t="shared" si="38"/>
        <v>0.34</v>
      </c>
      <c r="T142" s="70">
        <f t="shared" si="38"/>
        <v>120</v>
      </c>
      <c r="U142" s="18">
        <f t="shared" si="36"/>
        <v>0.16799999999999998</v>
      </c>
      <c r="V142" s="45">
        <v>0</v>
      </c>
      <c r="W142" s="69">
        <f t="shared" si="39"/>
        <v>10.5</v>
      </c>
      <c r="X142" s="75">
        <f t="shared" si="40"/>
        <v>10.332</v>
      </c>
      <c r="Y142" s="125"/>
      <c r="Z142" s="138"/>
    </row>
    <row r="143" spans="1:26" s="17" customFormat="1" ht="11.25">
      <c r="A143" s="41"/>
      <c r="B143" s="61" t="s">
        <v>207</v>
      </c>
      <c r="C143" s="45" t="s">
        <v>16</v>
      </c>
      <c r="D143" s="45">
        <v>1.71</v>
      </c>
      <c r="E143" s="45">
        <v>1.44</v>
      </c>
      <c r="F143" s="45">
        <v>120</v>
      </c>
      <c r="G143" s="45">
        <f t="shared" si="43"/>
        <v>0.27</v>
      </c>
      <c r="H143" s="45">
        <v>0</v>
      </c>
      <c r="I143" s="45">
        <f t="shared" si="45"/>
        <v>10.5</v>
      </c>
      <c r="J143" s="45">
        <f t="shared" si="37"/>
        <v>10.23</v>
      </c>
      <c r="K143" s="135"/>
      <c r="L143" s="136"/>
      <c r="M143" s="94"/>
      <c r="N143" s="150"/>
      <c r="O143" s="61" t="s">
        <v>207</v>
      </c>
      <c r="P143" s="45" t="s">
        <v>16</v>
      </c>
      <c r="Q143" s="18">
        <v>0.078</v>
      </c>
      <c r="R143" s="18">
        <f t="shared" si="44"/>
        <v>1.788</v>
      </c>
      <c r="S143" s="69">
        <f t="shared" si="38"/>
        <v>1.44</v>
      </c>
      <c r="T143" s="70">
        <f t="shared" si="38"/>
        <v>120</v>
      </c>
      <c r="U143" s="18">
        <f t="shared" si="36"/>
        <v>0.3480000000000001</v>
      </c>
      <c r="V143" s="45">
        <v>0</v>
      </c>
      <c r="W143" s="69">
        <f t="shared" si="39"/>
        <v>10.5</v>
      </c>
      <c r="X143" s="75">
        <f t="shared" si="40"/>
        <v>10.152</v>
      </c>
      <c r="Y143" s="126"/>
      <c r="Z143" s="139"/>
    </row>
    <row r="144" spans="1:26" s="17" customFormat="1" ht="11.25">
      <c r="A144" s="41"/>
      <c r="B144" s="61" t="s">
        <v>152</v>
      </c>
      <c r="C144" s="45" t="s">
        <v>22</v>
      </c>
      <c r="D144" s="45">
        <v>0.43</v>
      </c>
      <c r="E144" s="45">
        <v>0.48</v>
      </c>
      <c r="F144" s="45">
        <v>120</v>
      </c>
      <c r="G144" s="45">
        <f t="shared" si="43"/>
        <v>-0.04999999999999999</v>
      </c>
      <c r="H144" s="45">
        <v>0</v>
      </c>
      <c r="I144" s="45">
        <f>1.8*1.05</f>
        <v>1.8900000000000001</v>
      </c>
      <c r="J144" s="45">
        <f t="shared" si="37"/>
        <v>1.9400000000000002</v>
      </c>
      <c r="K144" s="45">
        <f>J144</f>
        <v>1.9400000000000002</v>
      </c>
      <c r="L144" s="12" t="str">
        <f>IF(K144&lt;0,"закрыт","открыт")</f>
        <v>открыт</v>
      </c>
      <c r="M144" s="94"/>
      <c r="N144" s="41">
        <v>96</v>
      </c>
      <c r="O144" s="61" t="s">
        <v>152</v>
      </c>
      <c r="P144" s="45" t="s">
        <v>22</v>
      </c>
      <c r="Q144" s="18">
        <v>0.192</v>
      </c>
      <c r="R144" s="18">
        <f t="shared" si="44"/>
        <v>0.622</v>
      </c>
      <c r="S144" s="69">
        <f t="shared" si="38"/>
        <v>0.48</v>
      </c>
      <c r="T144" s="70">
        <f t="shared" si="38"/>
        <v>120</v>
      </c>
      <c r="U144" s="18">
        <f t="shared" si="36"/>
        <v>0.14200000000000002</v>
      </c>
      <c r="V144" s="45">
        <v>0</v>
      </c>
      <c r="W144" s="69">
        <f t="shared" si="39"/>
        <v>1.8900000000000001</v>
      </c>
      <c r="X144" s="75">
        <f t="shared" si="40"/>
        <v>1.7480000000000002</v>
      </c>
      <c r="Y144" s="76">
        <f t="shared" si="41"/>
        <v>1.7480000000000002</v>
      </c>
      <c r="Z144" s="16" t="str">
        <f t="shared" si="42"/>
        <v>открыт</v>
      </c>
    </row>
    <row r="145" spans="1:26" s="17" customFormat="1" ht="11.25">
      <c r="A145" s="41">
        <v>96</v>
      </c>
      <c r="B145" s="61" t="s">
        <v>153</v>
      </c>
      <c r="C145" s="45" t="s">
        <v>154</v>
      </c>
      <c r="D145" s="45">
        <v>0.26</v>
      </c>
      <c r="E145" s="45">
        <v>0.59</v>
      </c>
      <c r="F145" s="45">
        <v>120</v>
      </c>
      <c r="G145" s="45">
        <f t="shared" si="43"/>
        <v>-0.32999999999999996</v>
      </c>
      <c r="H145" s="45">
        <v>0</v>
      </c>
      <c r="I145" s="45">
        <f>1*1.05</f>
        <v>1.05</v>
      </c>
      <c r="J145" s="45">
        <f t="shared" si="37"/>
        <v>1.38</v>
      </c>
      <c r="K145" s="45">
        <f aca="true" t="shared" si="46" ref="K145:K159">J145</f>
        <v>1.38</v>
      </c>
      <c r="L145" s="12" t="str">
        <f aca="true" t="shared" si="47" ref="L145:L160">IF(K145&lt;0,"закрыт","открыт")</f>
        <v>открыт</v>
      </c>
      <c r="M145" s="94"/>
      <c r="N145" s="41">
        <v>97</v>
      </c>
      <c r="O145" s="61" t="s">
        <v>153</v>
      </c>
      <c r="P145" s="45" t="s">
        <v>154</v>
      </c>
      <c r="Q145" s="18">
        <v>0.016</v>
      </c>
      <c r="R145" s="18">
        <f t="shared" si="44"/>
        <v>0.276</v>
      </c>
      <c r="S145" s="69">
        <f t="shared" si="38"/>
        <v>0.59</v>
      </c>
      <c r="T145" s="70">
        <f t="shared" si="38"/>
        <v>120</v>
      </c>
      <c r="U145" s="18">
        <f t="shared" si="36"/>
        <v>-0.31399999999999995</v>
      </c>
      <c r="V145" s="45">
        <v>0</v>
      </c>
      <c r="W145" s="69">
        <f t="shared" si="39"/>
        <v>1.05</v>
      </c>
      <c r="X145" s="75">
        <f t="shared" si="40"/>
        <v>1.3639999999999999</v>
      </c>
      <c r="Y145" s="76">
        <f t="shared" si="41"/>
        <v>1.3639999999999999</v>
      </c>
      <c r="Z145" s="16" t="str">
        <f t="shared" si="42"/>
        <v>открыт</v>
      </c>
    </row>
    <row r="146" spans="1:26" s="17" customFormat="1" ht="11.25">
      <c r="A146" s="41">
        <v>97</v>
      </c>
      <c r="B146" s="61" t="s">
        <v>155</v>
      </c>
      <c r="C146" s="45" t="s">
        <v>25</v>
      </c>
      <c r="D146" s="45">
        <v>0.51</v>
      </c>
      <c r="E146" s="45">
        <v>0</v>
      </c>
      <c r="F146" s="45"/>
      <c r="G146" s="45">
        <f t="shared" si="43"/>
        <v>0.51</v>
      </c>
      <c r="H146" s="45">
        <v>0</v>
      </c>
      <c r="I146" s="45">
        <f>1.6*1.05</f>
        <v>1.6800000000000002</v>
      </c>
      <c r="J146" s="45">
        <f t="shared" si="37"/>
        <v>1.1700000000000002</v>
      </c>
      <c r="K146" s="45">
        <f t="shared" si="46"/>
        <v>1.1700000000000002</v>
      </c>
      <c r="L146" s="12" t="str">
        <f t="shared" si="47"/>
        <v>открыт</v>
      </c>
      <c r="M146" s="94"/>
      <c r="N146" s="41">
        <v>98</v>
      </c>
      <c r="O146" s="61" t="s">
        <v>155</v>
      </c>
      <c r="P146" s="45" t="s">
        <v>25</v>
      </c>
      <c r="Q146" s="18">
        <v>0.006</v>
      </c>
      <c r="R146" s="18">
        <f t="shared" si="44"/>
        <v>0.516</v>
      </c>
      <c r="S146" s="69">
        <f t="shared" si="38"/>
        <v>0</v>
      </c>
      <c r="T146" s="70"/>
      <c r="U146" s="18">
        <f t="shared" si="36"/>
        <v>0.516</v>
      </c>
      <c r="V146" s="45">
        <v>0</v>
      </c>
      <c r="W146" s="69">
        <f t="shared" si="39"/>
        <v>1.6800000000000002</v>
      </c>
      <c r="X146" s="75">
        <f t="shared" si="40"/>
        <v>1.1640000000000001</v>
      </c>
      <c r="Y146" s="76">
        <f t="shared" si="41"/>
        <v>1.1640000000000001</v>
      </c>
      <c r="Z146" s="16" t="str">
        <f t="shared" si="42"/>
        <v>открыт</v>
      </c>
    </row>
    <row r="147" spans="1:26" s="17" customFormat="1" ht="11.25">
      <c r="A147" s="41">
        <v>98</v>
      </c>
      <c r="B147" s="61" t="s">
        <v>156</v>
      </c>
      <c r="C147" s="45" t="s">
        <v>157</v>
      </c>
      <c r="D147" s="45">
        <v>0.34</v>
      </c>
      <c r="E147" s="45">
        <v>0.24</v>
      </c>
      <c r="F147" s="45">
        <v>120</v>
      </c>
      <c r="G147" s="45">
        <f t="shared" si="43"/>
        <v>0.10000000000000003</v>
      </c>
      <c r="H147" s="45">
        <v>0</v>
      </c>
      <c r="I147" s="45">
        <f>1*1.05</f>
        <v>1.05</v>
      </c>
      <c r="J147" s="45">
        <f t="shared" si="37"/>
        <v>0.95</v>
      </c>
      <c r="K147" s="45">
        <f t="shared" si="46"/>
        <v>0.95</v>
      </c>
      <c r="L147" s="12" t="str">
        <f t="shared" si="47"/>
        <v>открыт</v>
      </c>
      <c r="M147" s="94"/>
      <c r="N147" s="41">
        <v>99</v>
      </c>
      <c r="O147" s="61" t="s">
        <v>156</v>
      </c>
      <c r="P147" s="45" t="s">
        <v>157</v>
      </c>
      <c r="Q147" s="18">
        <v>0.02</v>
      </c>
      <c r="R147" s="71">
        <f t="shared" si="44"/>
        <v>0.36000000000000004</v>
      </c>
      <c r="S147" s="69">
        <f t="shared" si="38"/>
        <v>0.24</v>
      </c>
      <c r="T147" s="70">
        <f t="shared" si="38"/>
        <v>120</v>
      </c>
      <c r="U147" s="18">
        <f t="shared" si="36"/>
        <v>0.12000000000000005</v>
      </c>
      <c r="V147" s="45">
        <v>0</v>
      </c>
      <c r="W147" s="69">
        <f t="shared" si="39"/>
        <v>1.05</v>
      </c>
      <c r="X147" s="75">
        <f t="shared" si="40"/>
        <v>0.9299999999999999</v>
      </c>
      <c r="Y147" s="76">
        <f t="shared" si="41"/>
        <v>0.9299999999999999</v>
      </c>
      <c r="Z147" s="16" t="str">
        <f t="shared" si="42"/>
        <v>открыт</v>
      </c>
    </row>
    <row r="148" spans="1:26" s="17" customFormat="1" ht="11.25">
      <c r="A148" s="41">
        <v>99</v>
      </c>
      <c r="B148" s="61" t="s">
        <v>158</v>
      </c>
      <c r="C148" s="45" t="s">
        <v>17</v>
      </c>
      <c r="D148" s="45">
        <v>1</v>
      </c>
      <c r="E148" s="45">
        <v>0</v>
      </c>
      <c r="F148" s="45" t="s">
        <v>209</v>
      </c>
      <c r="G148" s="45">
        <f t="shared" si="43"/>
        <v>1</v>
      </c>
      <c r="H148" s="45">
        <v>0</v>
      </c>
      <c r="I148" s="19">
        <f>2.5*1.05</f>
        <v>2.625</v>
      </c>
      <c r="J148" s="19">
        <f t="shared" si="37"/>
        <v>1.625</v>
      </c>
      <c r="K148" s="19">
        <f t="shared" si="46"/>
        <v>1.625</v>
      </c>
      <c r="L148" s="12" t="str">
        <f t="shared" si="47"/>
        <v>открыт</v>
      </c>
      <c r="M148" s="94"/>
      <c r="N148" s="41">
        <v>100</v>
      </c>
      <c r="O148" s="61" t="s">
        <v>158</v>
      </c>
      <c r="P148" s="45" t="s">
        <v>17</v>
      </c>
      <c r="Q148" s="18">
        <v>0.023</v>
      </c>
      <c r="R148" s="71">
        <f t="shared" si="44"/>
        <v>1.023</v>
      </c>
      <c r="S148" s="69">
        <f t="shared" si="38"/>
        <v>0</v>
      </c>
      <c r="T148" s="70"/>
      <c r="U148" s="18">
        <f t="shared" si="36"/>
        <v>1.023</v>
      </c>
      <c r="V148" s="45">
        <v>0</v>
      </c>
      <c r="W148" s="69">
        <f t="shared" si="39"/>
        <v>2.625</v>
      </c>
      <c r="X148" s="75">
        <f t="shared" si="40"/>
        <v>1.602</v>
      </c>
      <c r="Y148" s="76">
        <f t="shared" si="41"/>
        <v>1.602</v>
      </c>
      <c r="Z148" s="16" t="str">
        <f t="shared" si="42"/>
        <v>открыт</v>
      </c>
    </row>
    <row r="149" spans="1:26" s="17" customFormat="1" ht="11.25">
      <c r="A149" s="41">
        <v>100</v>
      </c>
      <c r="B149" s="61" t="s">
        <v>159</v>
      </c>
      <c r="C149" s="45" t="s">
        <v>31</v>
      </c>
      <c r="D149" s="45">
        <v>0.91</v>
      </c>
      <c r="E149" s="45">
        <v>0.63</v>
      </c>
      <c r="F149" s="45">
        <v>120</v>
      </c>
      <c r="G149" s="45">
        <f t="shared" si="43"/>
        <v>0.28</v>
      </c>
      <c r="H149" s="45"/>
      <c r="I149" s="19">
        <f>2.5*1.05</f>
        <v>2.625</v>
      </c>
      <c r="J149" s="19">
        <f t="shared" si="37"/>
        <v>2.3449999999999998</v>
      </c>
      <c r="K149" s="19">
        <f t="shared" si="46"/>
        <v>2.3449999999999998</v>
      </c>
      <c r="L149" s="12" t="str">
        <f t="shared" si="47"/>
        <v>открыт</v>
      </c>
      <c r="M149" s="94"/>
      <c r="N149" s="41">
        <v>101</v>
      </c>
      <c r="O149" s="61" t="s">
        <v>159</v>
      </c>
      <c r="P149" s="45" t="s">
        <v>31</v>
      </c>
      <c r="Q149" s="18">
        <v>0.035</v>
      </c>
      <c r="R149" s="71">
        <f t="shared" si="44"/>
        <v>0.9450000000000001</v>
      </c>
      <c r="S149" s="69">
        <f t="shared" si="38"/>
        <v>0.63</v>
      </c>
      <c r="T149" s="70">
        <f t="shared" si="38"/>
        <v>120</v>
      </c>
      <c r="U149" s="18">
        <f t="shared" si="36"/>
        <v>0.31500000000000006</v>
      </c>
      <c r="V149" s="45">
        <v>0</v>
      </c>
      <c r="W149" s="69">
        <f t="shared" si="39"/>
        <v>2.625</v>
      </c>
      <c r="X149" s="75">
        <f t="shared" si="40"/>
        <v>2.31</v>
      </c>
      <c r="Y149" s="76">
        <f t="shared" si="41"/>
        <v>2.31</v>
      </c>
      <c r="Z149" s="16" t="str">
        <f t="shared" si="42"/>
        <v>открыт</v>
      </c>
    </row>
    <row r="150" spans="1:26" s="17" customFormat="1" ht="11.25">
      <c r="A150" s="41">
        <v>101</v>
      </c>
      <c r="B150" s="61" t="s">
        <v>160</v>
      </c>
      <c r="C150" s="45" t="s">
        <v>19</v>
      </c>
      <c r="D150" s="45">
        <v>0.23</v>
      </c>
      <c r="E150" s="45">
        <v>0.47</v>
      </c>
      <c r="F150" s="45">
        <v>120</v>
      </c>
      <c r="G150" s="45">
        <f t="shared" si="43"/>
        <v>-0.23999999999999996</v>
      </c>
      <c r="H150" s="45">
        <v>0</v>
      </c>
      <c r="I150" s="45">
        <f>1.6*1.05</f>
        <v>1.6800000000000002</v>
      </c>
      <c r="J150" s="45">
        <f t="shared" si="37"/>
        <v>1.9200000000000002</v>
      </c>
      <c r="K150" s="45">
        <f t="shared" si="46"/>
        <v>1.9200000000000002</v>
      </c>
      <c r="L150" s="12" t="str">
        <f t="shared" si="47"/>
        <v>открыт</v>
      </c>
      <c r="M150" s="94"/>
      <c r="N150" s="41">
        <v>102</v>
      </c>
      <c r="O150" s="61" t="s">
        <v>160</v>
      </c>
      <c r="P150" s="45" t="s">
        <v>19</v>
      </c>
      <c r="Q150" s="18">
        <v>0</v>
      </c>
      <c r="R150" s="71">
        <f t="shared" si="44"/>
        <v>0.23</v>
      </c>
      <c r="S150" s="69">
        <f t="shared" si="38"/>
        <v>0.47</v>
      </c>
      <c r="T150" s="70">
        <f t="shared" si="38"/>
        <v>120</v>
      </c>
      <c r="U150" s="18">
        <f t="shared" si="36"/>
        <v>-0.23999999999999996</v>
      </c>
      <c r="V150" s="45">
        <v>0</v>
      </c>
      <c r="W150" s="69">
        <f t="shared" si="39"/>
        <v>1.6800000000000002</v>
      </c>
      <c r="X150" s="75">
        <f t="shared" si="40"/>
        <v>1.9200000000000002</v>
      </c>
      <c r="Y150" s="76">
        <f t="shared" si="41"/>
        <v>1.9200000000000002</v>
      </c>
      <c r="Z150" s="16" t="str">
        <f t="shared" si="42"/>
        <v>открыт</v>
      </c>
    </row>
    <row r="151" spans="1:26" s="17" customFormat="1" ht="11.25">
      <c r="A151" s="41">
        <v>102</v>
      </c>
      <c r="B151" s="61" t="s">
        <v>161</v>
      </c>
      <c r="C151" s="45" t="s">
        <v>17</v>
      </c>
      <c r="D151" s="45">
        <v>0.32</v>
      </c>
      <c r="E151" s="45">
        <v>0</v>
      </c>
      <c r="F151" s="45" t="s">
        <v>209</v>
      </c>
      <c r="G151" s="45">
        <f t="shared" si="43"/>
        <v>0.32</v>
      </c>
      <c r="H151" s="45">
        <v>0</v>
      </c>
      <c r="I151" s="19">
        <f aca="true" t="shared" si="48" ref="I151:I158">2.5*1.05</f>
        <v>2.625</v>
      </c>
      <c r="J151" s="19">
        <f t="shared" si="37"/>
        <v>2.305</v>
      </c>
      <c r="K151" s="19">
        <f t="shared" si="46"/>
        <v>2.305</v>
      </c>
      <c r="L151" s="12" t="str">
        <f t="shared" si="47"/>
        <v>открыт</v>
      </c>
      <c r="M151" s="94"/>
      <c r="N151" s="41">
        <v>103</v>
      </c>
      <c r="O151" s="61" t="s">
        <v>161</v>
      </c>
      <c r="P151" s="45" t="s">
        <v>17</v>
      </c>
      <c r="Q151" s="18">
        <v>0</v>
      </c>
      <c r="R151" s="71">
        <f t="shared" si="44"/>
        <v>0.32</v>
      </c>
      <c r="S151" s="69">
        <f t="shared" si="38"/>
        <v>0</v>
      </c>
      <c r="T151" s="70"/>
      <c r="U151" s="18">
        <f t="shared" si="36"/>
        <v>0.32</v>
      </c>
      <c r="V151" s="45">
        <v>0</v>
      </c>
      <c r="W151" s="69">
        <f t="shared" si="39"/>
        <v>2.625</v>
      </c>
      <c r="X151" s="75">
        <f t="shared" si="40"/>
        <v>2.305</v>
      </c>
      <c r="Y151" s="76">
        <f t="shared" si="41"/>
        <v>2.305</v>
      </c>
      <c r="Z151" s="16" t="str">
        <f t="shared" si="42"/>
        <v>открыт</v>
      </c>
    </row>
    <row r="152" spans="1:26" s="17" customFormat="1" ht="22.5">
      <c r="A152" s="41">
        <v>103</v>
      </c>
      <c r="B152" s="61" t="s">
        <v>162</v>
      </c>
      <c r="C152" s="45" t="s">
        <v>17</v>
      </c>
      <c r="D152" s="45">
        <v>1.1</v>
      </c>
      <c r="E152" s="45">
        <v>0.67</v>
      </c>
      <c r="F152" s="45">
        <v>120</v>
      </c>
      <c r="G152" s="45">
        <f t="shared" si="43"/>
        <v>0.43000000000000005</v>
      </c>
      <c r="H152" s="45">
        <v>0</v>
      </c>
      <c r="I152" s="19">
        <f t="shared" si="48"/>
        <v>2.625</v>
      </c>
      <c r="J152" s="19">
        <f t="shared" si="37"/>
        <v>2.195</v>
      </c>
      <c r="K152" s="19">
        <f t="shared" si="46"/>
        <v>2.195</v>
      </c>
      <c r="L152" s="12" t="str">
        <f t="shared" si="47"/>
        <v>открыт</v>
      </c>
      <c r="M152" s="94"/>
      <c r="N152" s="41">
        <v>104</v>
      </c>
      <c r="O152" s="61" t="s">
        <v>162</v>
      </c>
      <c r="P152" s="45" t="s">
        <v>17</v>
      </c>
      <c r="Q152" s="71">
        <v>0.524</v>
      </c>
      <c r="R152" s="71">
        <f t="shared" si="44"/>
        <v>1.624</v>
      </c>
      <c r="S152" s="69">
        <f t="shared" si="38"/>
        <v>0.67</v>
      </c>
      <c r="T152" s="70">
        <f t="shared" si="38"/>
        <v>120</v>
      </c>
      <c r="U152" s="18">
        <f t="shared" si="36"/>
        <v>0.9540000000000001</v>
      </c>
      <c r="V152" s="45">
        <v>0</v>
      </c>
      <c r="W152" s="69">
        <f t="shared" si="39"/>
        <v>2.625</v>
      </c>
      <c r="X152" s="75">
        <f t="shared" si="40"/>
        <v>1.6709999999999998</v>
      </c>
      <c r="Y152" s="76">
        <f t="shared" si="41"/>
        <v>1.6709999999999998</v>
      </c>
      <c r="Z152" s="16" t="str">
        <f t="shared" si="42"/>
        <v>открыт</v>
      </c>
    </row>
    <row r="153" spans="1:26" s="17" customFormat="1" ht="11.25">
      <c r="A153" s="41">
        <v>104</v>
      </c>
      <c r="B153" s="61" t="s">
        <v>163</v>
      </c>
      <c r="C153" s="45" t="s">
        <v>19</v>
      </c>
      <c r="D153" s="45">
        <v>0.5</v>
      </c>
      <c r="E153" s="45">
        <v>0.37</v>
      </c>
      <c r="F153" s="45">
        <v>120</v>
      </c>
      <c r="G153" s="45">
        <f t="shared" si="43"/>
        <v>0.13</v>
      </c>
      <c r="H153" s="45">
        <v>0</v>
      </c>
      <c r="I153" s="45">
        <f>1.6*1.05</f>
        <v>1.6800000000000002</v>
      </c>
      <c r="J153" s="45">
        <f t="shared" si="37"/>
        <v>1.5500000000000003</v>
      </c>
      <c r="K153" s="45">
        <f t="shared" si="46"/>
        <v>1.5500000000000003</v>
      </c>
      <c r="L153" s="12" t="str">
        <f t="shared" si="47"/>
        <v>открыт</v>
      </c>
      <c r="M153" s="94"/>
      <c r="N153" s="41">
        <v>105</v>
      </c>
      <c r="O153" s="61" t="s">
        <v>163</v>
      </c>
      <c r="P153" s="45" t="s">
        <v>19</v>
      </c>
      <c r="Q153" s="18">
        <v>0.032</v>
      </c>
      <c r="R153" s="71">
        <f t="shared" si="44"/>
        <v>0.532</v>
      </c>
      <c r="S153" s="69">
        <f t="shared" si="38"/>
        <v>0.37</v>
      </c>
      <c r="T153" s="70">
        <f t="shared" si="38"/>
        <v>120</v>
      </c>
      <c r="U153" s="18">
        <f t="shared" si="36"/>
        <v>0.16200000000000003</v>
      </c>
      <c r="V153" s="45">
        <v>0</v>
      </c>
      <c r="W153" s="69">
        <f t="shared" si="39"/>
        <v>1.6800000000000002</v>
      </c>
      <c r="X153" s="75">
        <f t="shared" si="40"/>
        <v>1.5180000000000002</v>
      </c>
      <c r="Y153" s="76">
        <f t="shared" si="41"/>
        <v>1.5180000000000002</v>
      </c>
      <c r="Z153" s="16" t="str">
        <f t="shared" si="42"/>
        <v>открыт</v>
      </c>
    </row>
    <row r="154" spans="1:26" s="17" customFormat="1" ht="11.25">
      <c r="A154" s="41">
        <v>105</v>
      </c>
      <c r="B154" s="61" t="s">
        <v>164</v>
      </c>
      <c r="C154" s="45" t="s">
        <v>17</v>
      </c>
      <c r="D154" s="45">
        <v>0.63</v>
      </c>
      <c r="E154" s="45">
        <v>0.69</v>
      </c>
      <c r="F154" s="45">
        <v>120</v>
      </c>
      <c r="G154" s="45">
        <f t="shared" si="43"/>
        <v>-0.05999999999999994</v>
      </c>
      <c r="H154" s="45">
        <v>0</v>
      </c>
      <c r="I154" s="19">
        <f t="shared" si="48"/>
        <v>2.625</v>
      </c>
      <c r="J154" s="19">
        <f t="shared" si="37"/>
        <v>2.685</v>
      </c>
      <c r="K154" s="19">
        <f t="shared" si="46"/>
        <v>2.685</v>
      </c>
      <c r="L154" s="12" t="str">
        <f t="shared" si="47"/>
        <v>открыт</v>
      </c>
      <c r="M154" s="94"/>
      <c r="N154" s="41">
        <v>106</v>
      </c>
      <c r="O154" s="61" t="s">
        <v>164</v>
      </c>
      <c r="P154" s="45" t="s">
        <v>17</v>
      </c>
      <c r="Q154" s="18">
        <v>0.017</v>
      </c>
      <c r="R154" s="18">
        <f t="shared" si="44"/>
        <v>0.647</v>
      </c>
      <c r="S154" s="69">
        <f t="shared" si="38"/>
        <v>0.69</v>
      </c>
      <c r="T154" s="70">
        <f t="shared" si="38"/>
        <v>120</v>
      </c>
      <c r="U154" s="18">
        <f t="shared" si="36"/>
        <v>-0.04299999999999993</v>
      </c>
      <c r="V154" s="45">
        <v>0</v>
      </c>
      <c r="W154" s="69">
        <f t="shared" si="39"/>
        <v>2.625</v>
      </c>
      <c r="X154" s="75">
        <f t="shared" si="40"/>
        <v>2.668</v>
      </c>
      <c r="Y154" s="76">
        <f t="shared" si="41"/>
        <v>2.668</v>
      </c>
      <c r="Z154" s="16" t="str">
        <f t="shared" si="42"/>
        <v>открыт</v>
      </c>
    </row>
    <row r="155" spans="1:26" s="17" customFormat="1" ht="11.25">
      <c r="A155" s="41">
        <v>106</v>
      </c>
      <c r="B155" s="61" t="s">
        <v>165</v>
      </c>
      <c r="C155" s="45" t="s">
        <v>19</v>
      </c>
      <c r="D155" s="45">
        <v>0.38</v>
      </c>
      <c r="E155" s="45">
        <v>0</v>
      </c>
      <c r="F155" s="45" t="s">
        <v>209</v>
      </c>
      <c r="G155" s="45">
        <f t="shared" si="43"/>
        <v>0.38</v>
      </c>
      <c r="H155" s="45">
        <v>0</v>
      </c>
      <c r="I155" s="45">
        <f>1.6*1.05</f>
        <v>1.6800000000000002</v>
      </c>
      <c r="J155" s="45">
        <f t="shared" si="37"/>
        <v>1.3000000000000003</v>
      </c>
      <c r="K155" s="45">
        <f t="shared" si="46"/>
        <v>1.3000000000000003</v>
      </c>
      <c r="L155" s="12" t="str">
        <f t="shared" si="47"/>
        <v>открыт</v>
      </c>
      <c r="M155" s="94"/>
      <c r="N155" s="41">
        <v>107</v>
      </c>
      <c r="O155" s="61" t="s">
        <v>165</v>
      </c>
      <c r="P155" s="45" t="s">
        <v>19</v>
      </c>
      <c r="Q155" s="71">
        <v>0.039</v>
      </c>
      <c r="R155" s="18">
        <f t="shared" si="44"/>
        <v>0.419</v>
      </c>
      <c r="S155" s="69">
        <f t="shared" si="38"/>
        <v>0</v>
      </c>
      <c r="T155" s="70"/>
      <c r="U155" s="18">
        <f t="shared" si="36"/>
        <v>0.419</v>
      </c>
      <c r="V155" s="45">
        <v>0</v>
      </c>
      <c r="W155" s="69">
        <f t="shared" si="39"/>
        <v>1.6800000000000002</v>
      </c>
      <c r="X155" s="75">
        <f t="shared" si="40"/>
        <v>1.2610000000000001</v>
      </c>
      <c r="Y155" s="76">
        <f t="shared" si="41"/>
        <v>1.2610000000000001</v>
      </c>
      <c r="Z155" s="16" t="str">
        <f t="shared" si="42"/>
        <v>открыт</v>
      </c>
    </row>
    <row r="156" spans="1:26" s="17" customFormat="1" ht="11.25">
      <c r="A156" s="41">
        <v>107</v>
      </c>
      <c r="B156" s="61" t="s">
        <v>166</v>
      </c>
      <c r="C156" s="45" t="s">
        <v>167</v>
      </c>
      <c r="D156" s="45">
        <v>0.21</v>
      </c>
      <c r="E156" s="45">
        <v>0.25</v>
      </c>
      <c r="F156" s="45">
        <v>120</v>
      </c>
      <c r="G156" s="45">
        <f t="shared" si="43"/>
        <v>-0.04000000000000001</v>
      </c>
      <c r="H156" s="45">
        <v>0</v>
      </c>
      <c r="I156" s="45">
        <f>1*1.05</f>
        <v>1.05</v>
      </c>
      <c r="J156" s="45">
        <f t="shared" si="37"/>
        <v>1.09</v>
      </c>
      <c r="K156" s="45">
        <f t="shared" si="46"/>
        <v>1.09</v>
      </c>
      <c r="L156" s="12" t="str">
        <f t="shared" si="47"/>
        <v>открыт</v>
      </c>
      <c r="M156" s="94"/>
      <c r="N156" s="41">
        <v>108</v>
      </c>
      <c r="O156" s="61" t="s">
        <v>166</v>
      </c>
      <c r="P156" s="45" t="s">
        <v>167</v>
      </c>
      <c r="Q156" s="71">
        <v>0.018</v>
      </c>
      <c r="R156" s="18">
        <f t="shared" si="44"/>
        <v>0.22799999999999998</v>
      </c>
      <c r="S156" s="69">
        <f t="shared" si="38"/>
        <v>0.25</v>
      </c>
      <c r="T156" s="70">
        <f t="shared" si="38"/>
        <v>120</v>
      </c>
      <c r="U156" s="18">
        <f t="shared" si="36"/>
        <v>-0.02200000000000002</v>
      </c>
      <c r="V156" s="45">
        <v>0</v>
      </c>
      <c r="W156" s="69">
        <f t="shared" si="39"/>
        <v>1.05</v>
      </c>
      <c r="X156" s="75">
        <f t="shared" si="40"/>
        <v>1.072</v>
      </c>
      <c r="Y156" s="76">
        <f t="shared" si="41"/>
        <v>1.072</v>
      </c>
      <c r="Z156" s="16" t="str">
        <f t="shared" si="42"/>
        <v>открыт</v>
      </c>
    </row>
    <row r="157" spans="1:26" s="17" customFormat="1" ht="11.25">
      <c r="A157" s="41">
        <v>108</v>
      </c>
      <c r="B157" s="61" t="s">
        <v>168</v>
      </c>
      <c r="C157" s="45" t="s">
        <v>31</v>
      </c>
      <c r="D157" s="45">
        <v>0.76</v>
      </c>
      <c r="E157" s="45">
        <v>0.69</v>
      </c>
      <c r="F157" s="45">
        <v>120</v>
      </c>
      <c r="G157" s="45">
        <f t="shared" si="43"/>
        <v>0.07000000000000006</v>
      </c>
      <c r="H157" s="45">
        <v>0</v>
      </c>
      <c r="I157" s="19">
        <f t="shared" si="48"/>
        <v>2.625</v>
      </c>
      <c r="J157" s="19">
        <f t="shared" si="37"/>
        <v>2.5549999999999997</v>
      </c>
      <c r="K157" s="19">
        <f t="shared" si="46"/>
        <v>2.5549999999999997</v>
      </c>
      <c r="L157" s="12" t="str">
        <f t="shared" si="47"/>
        <v>открыт</v>
      </c>
      <c r="M157" s="94"/>
      <c r="N157" s="41">
        <v>109</v>
      </c>
      <c r="O157" s="61" t="s">
        <v>168</v>
      </c>
      <c r="P157" s="45" t="s">
        <v>31</v>
      </c>
      <c r="Q157" s="71">
        <v>0.078</v>
      </c>
      <c r="R157" s="18">
        <f t="shared" si="44"/>
        <v>0.838</v>
      </c>
      <c r="S157" s="69">
        <f t="shared" si="38"/>
        <v>0.69</v>
      </c>
      <c r="T157" s="70">
        <f t="shared" si="38"/>
        <v>120</v>
      </c>
      <c r="U157" s="18">
        <f t="shared" si="36"/>
        <v>0.14800000000000002</v>
      </c>
      <c r="V157" s="45">
        <v>0</v>
      </c>
      <c r="W157" s="69">
        <f t="shared" si="39"/>
        <v>2.625</v>
      </c>
      <c r="X157" s="75">
        <f t="shared" si="40"/>
        <v>2.477</v>
      </c>
      <c r="Y157" s="76">
        <f t="shared" si="41"/>
        <v>2.477</v>
      </c>
      <c r="Z157" s="16" t="str">
        <f t="shared" si="42"/>
        <v>открыт</v>
      </c>
    </row>
    <row r="158" spans="1:26" s="17" customFormat="1" ht="11.25">
      <c r="A158" s="41">
        <v>109</v>
      </c>
      <c r="B158" s="61" t="s">
        <v>169</v>
      </c>
      <c r="C158" s="45" t="s">
        <v>27</v>
      </c>
      <c r="D158" s="45">
        <v>0.88</v>
      </c>
      <c r="E158" s="45">
        <v>0.76</v>
      </c>
      <c r="F158" s="45">
        <v>120</v>
      </c>
      <c r="G158" s="45">
        <f t="shared" si="43"/>
        <v>0.12</v>
      </c>
      <c r="H158" s="45">
        <v>0</v>
      </c>
      <c r="I158" s="19">
        <f t="shared" si="48"/>
        <v>2.625</v>
      </c>
      <c r="J158" s="19">
        <f t="shared" si="37"/>
        <v>2.505</v>
      </c>
      <c r="K158" s="19">
        <f t="shared" si="46"/>
        <v>2.505</v>
      </c>
      <c r="L158" s="12" t="str">
        <f t="shared" si="47"/>
        <v>открыт</v>
      </c>
      <c r="M158" s="94"/>
      <c r="N158" s="41">
        <v>110</v>
      </c>
      <c r="O158" s="61" t="s">
        <v>169</v>
      </c>
      <c r="P158" s="45" t="s">
        <v>27</v>
      </c>
      <c r="Q158" s="71">
        <v>0.018</v>
      </c>
      <c r="R158" s="18">
        <f t="shared" si="44"/>
        <v>0.898</v>
      </c>
      <c r="S158" s="69">
        <f t="shared" si="38"/>
        <v>0.76</v>
      </c>
      <c r="T158" s="70">
        <f t="shared" si="38"/>
        <v>120</v>
      </c>
      <c r="U158" s="18">
        <f t="shared" si="36"/>
        <v>0.138</v>
      </c>
      <c r="V158" s="45">
        <v>0</v>
      </c>
      <c r="W158" s="69">
        <f t="shared" si="39"/>
        <v>2.625</v>
      </c>
      <c r="X158" s="75">
        <f t="shared" si="40"/>
        <v>2.487</v>
      </c>
      <c r="Y158" s="76">
        <f t="shared" si="41"/>
        <v>2.487</v>
      </c>
      <c r="Z158" s="16" t="str">
        <f t="shared" si="42"/>
        <v>открыт</v>
      </c>
    </row>
    <row r="159" spans="1:26" s="17" customFormat="1" ht="11.25">
      <c r="A159" s="41">
        <v>110</v>
      </c>
      <c r="B159" s="61" t="s">
        <v>170</v>
      </c>
      <c r="C159" s="45" t="s">
        <v>19</v>
      </c>
      <c r="D159" s="45">
        <v>0.22</v>
      </c>
      <c r="E159" s="45">
        <v>0</v>
      </c>
      <c r="F159" s="45" t="s">
        <v>209</v>
      </c>
      <c r="G159" s="45">
        <f t="shared" si="43"/>
        <v>0.22</v>
      </c>
      <c r="H159" s="45">
        <v>0</v>
      </c>
      <c r="I159" s="45">
        <f>1.6*1.05</f>
        <v>1.6800000000000002</v>
      </c>
      <c r="J159" s="45">
        <f t="shared" si="37"/>
        <v>1.4600000000000002</v>
      </c>
      <c r="K159" s="45">
        <f t="shared" si="46"/>
        <v>1.4600000000000002</v>
      </c>
      <c r="L159" s="12" t="str">
        <f t="shared" si="47"/>
        <v>открыт</v>
      </c>
      <c r="M159" s="94"/>
      <c r="N159" s="41">
        <v>111</v>
      </c>
      <c r="O159" s="61" t="s">
        <v>170</v>
      </c>
      <c r="P159" s="45" t="s">
        <v>19</v>
      </c>
      <c r="Q159" s="71">
        <v>0.034</v>
      </c>
      <c r="R159" s="18">
        <f t="shared" si="44"/>
        <v>0.254</v>
      </c>
      <c r="S159" s="69">
        <f t="shared" si="38"/>
        <v>0</v>
      </c>
      <c r="T159" s="70"/>
      <c r="U159" s="18">
        <f t="shared" si="36"/>
        <v>0.254</v>
      </c>
      <c r="V159" s="45">
        <v>0</v>
      </c>
      <c r="W159" s="69">
        <f t="shared" si="39"/>
        <v>1.6800000000000002</v>
      </c>
      <c r="X159" s="75">
        <f t="shared" si="40"/>
        <v>1.4260000000000002</v>
      </c>
      <c r="Y159" s="76">
        <f t="shared" si="41"/>
        <v>1.4260000000000002</v>
      </c>
      <c r="Z159" s="16" t="str">
        <f t="shared" si="42"/>
        <v>открыт</v>
      </c>
    </row>
    <row r="160" spans="1:26" s="17" customFormat="1" ht="22.5">
      <c r="A160" s="41">
        <v>111</v>
      </c>
      <c r="B160" s="61" t="s">
        <v>171</v>
      </c>
      <c r="C160" s="45" t="s">
        <v>172</v>
      </c>
      <c r="D160" s="45">
        <v>8.57</v>
      </c>
      <c r="E160" s="45">
        <f>E161+E162</f>
        <v>3.65</v>
      </c>
      <c r="F160" s="45">
        <v>120</v>
      </c>
      <c r="G160" s="45">
        <f t="shared" si="43"/>
        <v>4.92</v>
      </c>
      <c r="H160" s="45">
        <v>0</v>
      </c>
      <c r="I160" s="45">
        <f>10*1.05</f>
        <v>10.5</v>
      </c>
      <c r="J160" s="45">
        <f t="shared" si="37"/>
        <v>5.58</v>
      </c>
      <c r="K160" s="135">
        <f>MIN(J160:J162)</f>
        <v>5.58</v>
      </c>
      <c r="L160" s="136" t="str">
        <f t="shared" si="47"/>
        <v>открыт</v>
      </c>
      <c r="M160" s="94"/>
      <c r="N160" s="150">
        <v>112</v>
      </c>
      <c r="O160" s="61" t="s">
        <v>171</v>
      </c>
      <c r="P160" s="45" t="s">
        <v>172</v>
      </c>
      <c r="Q160" s="71">
        <f>Q161+Q162</f>
        <v>0.248</v>
      </c>
      <c r="R160" s="18">
        <f>R161+R162</f>
        <v>8.878</v>
      </c>
      <c r="S160" s="69">
        <f t="shared" si="38"/>
        <v>3.65</v>
      </c>
      <c r="T160" s="70">
        <f t="shared" si="38"/>
        <v>120</v>
      </c>
      <c r="U160" s="18">
        <f t="shared" si="36"/>
        <v>5.228</v>
      </c>
      <c r="V160" s="45">
        <v>0</v>
      </c>
      <c r="W160" s="69">
        <f t="shared" si="39"/>
        <v>10.5</v>
      </c>
      <c r="X160" s="75">
        <f t="shared" si="40"/>
        <v>5.272</v>
      </c>
      <c r="Y160" s="140">
        <f t="shared" si="41"/>
        <v>5.272</v>
      </c>
      <c r="Z160" s="152" t="str">
        <f t="shared" si="42"/>
        <v>открыт</v>
      </c>
    </row>
    <row r="161" spans="1:26" s="17" customFormat="1" ht="11.25">
      <c r="A161" s="41">
        <v>112</v>
      </c>
      <c r="B161" s="61" t="s">
        <v>206</v>
      </c>
      <c r="C161" s="45" t="s">
        <v>172</v>
      </c>
      <c r="D161" s="45">
        <v>3.01</v>
      </c>
      <c r="E161" s="45">
        <v>2.05</v>
      </c>
      <c r="F161" s="45">
        <v>120</v>
      </c>
      <c r="G161" s="45">
        <f t="shared" si="43"/>
        <v>0.96</v>
      </c>
      <c r="H161" s="45">
        <v>0</v>
      </c>
      <c r="I161" s="45">
        <f>10*1.05</f>
        <v>10.5</v>
      </c>
      <c r="J161" s="45">
        <f t="shared" si="37"/>
        <v>9.54</v>
      </c>
      <c r="K161" s="135"/>
      <c r="L161" s="136"/>
      <c r="M161" s="94"/>
      <c r="N161" s="150"/>
      <c r="O161" s="61" t="s">
        <v>206</v>
      </c>
      <c r="P161" s="45" t="s">
        <v>172</v>
      </c>
      <c r="Q161" s="107">
        <f>Q201+Q205</f>
        <v>0.049</v>
      </c>
      <c r="R161" s="18">
        <f t="shared" si="44"/>
        <v>3.0589999999999997</v>
      </c>
      <c r="S161" s="69">
        <f aca="true" t="shared" si="49" ref="S161:T205">E161</f>
        <v>2.05</v>
      </c>
      <c r="T161" s="70">
        <f t="shared" si="38"/>
        <v>120</v>
      </c>
      <c r="U161" s="18">
        <f t="shared" si="36"/>
        <v>1.009</v>
      </c>
      <c r="V161" s="45">
        <v>0</v>
      </c>
      <c r="W161" s="69">
        <f t="shared" si="39"/>
        <v>10.5</v>
      </c>
      <c r="X161" s="75">
        <f t="shared" si="40"/>
        <v>9.491</v>
      </c>
      <c r="Y161" s="125"/>
      <c r="Z161" s="138"/>
    </row>
    <row r="162" spans="1:26" s="17" customFormat="1" ht="11.25">
      <c r="A162" s="41"/>
      <c r="B162" s="61" t="s">
        <v>207</v>
      </c>
      <c r="C162" s="45" t="s">
        <v>172</v>
      </c>
      <c r="D162" s="45">
        <v>5.62</v>
      </c>
      <c r="E162" s="45">
        <v>1.6</v>
      </c>
      <c r="F162" s="45">
        <v>120</v>
      </c>
      <c r="G162" s="45">
        <f t="shared" si="43"/>
        <v>4.02</v>
      </c>
      <c r="H162" s="45">
        <v>0</v>
      </c>
      <c r="I162" s="45">
        <f>10*1.05</f>
        <v>10.5</v>
      </c>
      <c r="J162" s="45">
        <f t="shared" si="37"/>
        <v>6.48</v>
      </c>
      <c r="K162" s="135"/>
      <c r="L162" s="136"/>
      <c r="M162" s="94"/>
      <c r="N162" s="150"/>
      <c r="O162" s="61" t="s">
        <v>207</v>
      </c>
      <c r="P162" s="45" t="s">
        <v>172</v>
      </c>
      <c r="Q162" s="18">
        <v>0.199</v>
      </c>
      <c r="R162" s="18">
        <f t="shared" si="44"/>
        <v>5.819</v>
      </c>
      <c r="S162" s="69">
        <f t="shared" si="49"/>
        <v>1.6</v>
      </c>
      <c r="T162" s="70">
        <f t="shared" si="49"/>
        <v>120</v>
      </c>
      <c r="U162" s="18">
        <f t="shared" si="36"/>
        <v>4.218999999999999</v>
      </c>
      <c r="V162" s="45">
        <v>0</v>
      </c>
      <c r="W162" s="69">
        <f t="shared" si="39"/>
        <v>10.5</v>
      </c>
      <c r="X162" s="75">
        <f t="shared" si="40"/>
        <v>6.281000000000001</v>
      </c>
      <c r="Y162" s="126"/>
      <c r="Z162" s="139"/>
    </row>
    <row r="163" spans="1:26" s="17" customFormat="1" ht="22.5">
      <c r="A163" s="41"/>
      <c r="B163" s="61" t="s">
        <v>173</v>
      </c>
      <c r="C163" s="45" t="s">
        <v>28</v>
      </c>
      <c r="D163" s="45">
        <v>16.92</v>
      </c>
      <c r="E163" s="45">
        <f>E164+E165</f>
        <v>0.3</v>
      </c>
      <c r="F163" s="45" t="s">
        <v>209</v>
      </c>
      <c r="G163" s="45">
        <f t="shared" si="43"/>
        <v>16.62</v>
      </c>
      <c r="H163" s="45">
        <v>0</v>
      </c>
      <c r="I163" s="45">
        <f>40*1.05</f>
        <v>42</v>
      </c>
      <c r="J163" s="45">
        <f t="shared" si="37"/>
        <v>25.38</v>
      </c>
      <c r="K163" s="135">
        <f>MIN(J163:J165)</f>
        <v>25.38</v>
      </c>
      <c r="L163" s="136" t="str">
        <f>IF(K163&lt;0,"закрыт","открыт")</f>
        <v>открыт</v>
      </c>
      <c r="M163" s="94"/>
      <c r="N163" s="150">
        <v>113</v>
      </c>
      <c r="O163" s="61" t="s">
        <v>173</v>
      </c>
      <c r="P163" s="45" t="s">
        <v>28</v>
      </c>
      <c r="Q163" s="18">
        <f>Q164+Q165</f>
        <v>0.009</v>
      </c>
      <c r="R163" s="18">
        <f>R164+R165</f>
        <v>16.959</v>
      </c>
      <c r="S163" s="69">
        <f t="shared" si="49"/>
        <v>0.3</v>
      </c>
      <c r="T163" s="70"/>
      <c r="U163" s="18">
        <f t="shared" si="36"/>
        <v>16.659</v>
      </c>
      <c r="V163" s="45">
        <v>0</v>
      </c>
      <c r="W163" s="69">
        <f t="shared" si="39"/>
        <v>42</v>
      </c>
      <c r="X163" s="75">
        <f t="shared" si="40"/>
        <v>25.341</v>
      </c>
      <c r="Y163" s="140">
        <f>X163</f>
        <v>25.341</v>
      </c>
      <c r="Z163" s="152" t="str">
        <f>IF(Y163&lt;0,"закрыт","открыт")</f>
        <v>открыт</v>
      </c>
    </row>
    <row r="164" spans="1:26" s="17" customFormat="1" ht="11.25">
      <c r="A164" s="41">
        <v>113</v>
      </c>
      <c r="B164" s="61" t="s">
        <v>206</v>
      </c>
      <c r="C164" s="45" t="s">
        <v>28</v>
      </c>
      <c r="D164" s="45">
        <v>0.47</v>
      </c>
      <c r="E164" s="45">
        <v>0.3</v>
      </c>
      <c r="F164" s="45" t="s">
        <v>209</v>
      </c>
      <c r="G164" s="45">
        <f t="shared" si="43"/>
        <v>0.16999999999999998</v>
      </c>
      <c r="H164" s="45">
        <v>0</v>
      </c>
      <c r="I164" s="45">
        <f>40*1.05</f>
        <v>42</v>
      </c>
      <c r="J164" s="45">
        <f t="shared" si="37"/>
        <v>41.83</v>
      </c>
      <c r="K164" s="135"/>
      <c r="L164" s="136"/>
      <c r="M164" s="94"/>
      <c r="N164" s="150"/>
      <c r="O164" s="61" t="s">
        <v>206</v>
      </c>
      <c r="P164" s="45" t="s">
        <v>28</v>
      </c>
      <c r="Q164" s="106">
        <f>Q196</f>
        <v>0.009</v>
      </c>
      <c r="R164" s="18">
        <f t="shared" si="44"/>
        <v>0.479</v>
      </c>
      <c r="S164" s="69">
        <f t="shared" si="49"/>
        <v>0.3</v>
      </c>
      <c r="T164" s="70"/>
      <c r="U164" s="18">
        <f t="shared" si="36"/>
        <v>0.179</v>
      </c>
      <c r="V164" s="45">
        <v>0</v>
      </c>
      <c r="W164" s="69">
        <f t="shared" si="39"/>
        <v>42</v>
      </c>
      <c r="X164" s="75">
        <f t="shared" si="40"/>
        <v>41.821</v>
      </c>
      <c r="Y164" s="125"/>
      <c r="Z164" s="138"/>
    </row>
    <row r="165" spans="1:26" s="17" customFormat="1" ht="11.25">
      <c r="A165" s="41"/>
      <c r="B165" s="61" t="s">
        <v>207</v>
      </c>
      <c r="C165" s="45" t="s">
        <v>28</v>
      </c>
      <c r="D165" s="45">
        <v>16.48</v>
      </c>
      <c r="E165" s="45">
        <v>0</v>
      </c>
      <c r="F165" s="45" t="s">
        <v>209</v>
      </c>
      <c r="G165" s="45">
        <f t="shared" si="43"/>
        <v>16.48</v>
      </c>
      <c r="H165" s="45">
        <v>0</v>
      </c>
      <c r="I165" s="45">
        <f>40*1.05</f>
        <v>42</v>
      </c>
      <c r="J165" s="45">
        <f t="shared" si="37"/>
        <v>25.52</v>
      </c>
      <c r="K165" s="135"/>
      <c r="L165" s="136"/>
      <c r="M165" s="94"/>
      <c r="N165" s="150"/>
      <c r="O165" s="61" t="s">
        <v>207</v>
      </c>
      <c r="P165" s="45" t="s">
        <v>28</v>
      </c>
      <c r="Q165" s="18">
        <v>0</v>
      </c>
      <c r="R165" s="18">
        <f t="shared" si="44"/>
        <v>16.48</v>
      </c>
      <c r="S165" s="69">
        <f t="shared" si="49"/>
        <v>0</v>
      </c>
      <c r="T165" s="70"/>
      <c r="U165" s="18">
        <f t="shared" si="36"/>
        <v>16.48</v>
      </c>
      <c r="V165" s="45">
        <v>0</v>
      </c>
      <c r="W165" s="69">
        <f t="shared" si="39"/>
        <v>42</v>
      </c>
      <c r="X165" s="75">
        <f t="shared" si="40"/>
        <v>25.52</v>
      </c>
      <c r="Y165" s="126"/>
      <c r="Z165" s="139"/>
    </row>
    <row r="166" spans="1:26" s="17" customFormat="1" ht="11.25">
      <c r="A166" s="41"/>
      <c r="B166" s="61" t="s">
        <v>174</v>
      </c>
      <c r="C166" s="45" t="s">
        <v>172</v>
      </c>
      <c r="D166" s="45">
        <v>7.02</v>
      </c>
      <c r="E166" s="45">
        <v>3.38</v>
      </c>
      <c r="F166" s="45">
        <v>120</v>
      </c>
      <c r="G166" s="45">
        <f t="shared" si="43"/>
        <v>3.6399999999999997</v>
      </c>
      <c r="H166" s="45">
        <v>0</v>
      </c>
      <c r="I166" s="45">
        <f>10*1.05</f>
        <v>10.5</v>
      </c>
      <c r="J166" s="45">
        <f t="shared" si="37"/>
        <v>6.86</v>
      </c>
      <c r="K166" s="135">
        <f>MIN(J166:J168)</f>
        <v>6.86</v>
      </c>
      <c r="L166" s="136" t="str">
        <f>IF(K166&lt;0,"закрыт","открыт")</f>
        <v>открыт</v>
      </c>
      <c r="M166" s="94"/>
      <c r="N166" s="150">
        <v>114</v>
      </c>
      <c r="O166" s="61" t="s">
        <v>174</v>
      </c>
      <c r="P166" s="45" t="s">
        <v>172</v>
      </c>
      <c r="Q166" s="18">
        <f>Q167+Q168</f>
        <v>0.067</v>
      </c>
      <c r="R166" s="18">
        <f>R167+R168</f>
        <v>7.0969999999999995</v>
      </c>
      <c r="S166" s="69">
        <f t="shared" si="49"/>
        <v>3.38</v>
      </c>
      <c r="T166" s="70">
        <f t="shared" si="49"/>
        <v>120</v>
      </c>
      <c r="U166" s="18">
        <f t="shared" si="36"/>
        <v>3.7169999999999996</v>
      </c>
      <c r="V166" s="45">
        <v>0</v>
      </c>
      <c r="W166" s="69">
        <f t="shared" si="39"/>
        <v>10.5</v>
      </c>
      <c r="X166" s="75">
        <f t="shared" si="40"/>
        <v>6.783</v>
      </c>
      <c r="Y166" s="140">
        <f>X166</f>
        <v>6.783</v>
      </c>
      <c r="Z166" s="152" t="str">
        <f>IF(Y166&lt;0,"закрыт","открыт")</f>
        <v>открыт</v>
      </c>
    </row>
    <row r="167" spans="1:26" s="17" customFormat="1" ht="11.25">
      <c r="A167" s="41">
        <v>114</v>
      </c>
      <c r="B167" s="61" t="s">
        <v>206</v>
      </c>
      <c r="C167" s="45" t="s">
        <v>172</v>
      </c>
      <c r="D167" s="45">
        <v>2.67</v>
      </c>
      <c r="E167" s="45">
        <v>2.38</v>
      </c>
      <c r="F167" s="45">
        <v>120</v>
      </c>
      <c r="G167" s="45">
        <f t="shared" si="43"/>
        <v>0.29000000000000004</v>
      </c>
      <c r="H167" s="45">
        <v>0</v>
      </c>
      <c r="I167" s="45">
        <f>10*1.05</f>
        <v>10.5</v>
      </c>
      <c r="J167" s="45">
        <f t="shared" si="37"/>
        <v>10.21</v>
      </c>
      <c r="K167" s="135"/>
      <c r="L167" s="136"/>
      <c r="M167" s="94"/>
      <c r="N167" s="150"/>
      <c r="O167" s="61" t="s">
        <v>206</v>
      </c>
      <c r="P167" s="45" t="s">
        <v>172</v>
      </c>
      <c r="Q167" s="106">
        <f>Q204+Q187+Q57</f>
        <v>0.025</v>
      </c>
      <c r="R167" s="18">
        <f t="shared" si="44"/>
        <v>2.695</v>
      </c>
      <c r="S167" s="69">
        <f t="shared" si="49"/>
        <v>2.38</v>
      </c>
      <c r="T167" s="70">
        <f t="shared" si="49"/>
        <v>120</v>
      </c>
      <c r="U167" s="18">
        <f t="shared" si="36"/>
        <v>0.31499999999999995</v>
      </c>
      <c r="V167" s="45">
        <v>0</v>
      </c>
      <c r="W167" s="69">
        <f t="shared" si="39"/>
        <v>10.5</v>
      </c>
      <c r="X167" s="75">
        <f t="shared" si="40"/>
        <v>10.185</v>
      </c>
      <c r="Y167" s="125"/>
      <c r="Z167" s="138"/>
    </row>
    <row r="168" spans="1:26" s="17" customFormat="1" ht="11.25">
      <c r="A168" s="41"/>
      <c r="B168" s="61" t="s">
        <v>207</v>
      </c>
      <c r="C168" s="45" t="s">
        <v>172</v>
      </c>
      <c r="D168" s="45">
        <v>4.36</v>
      </c>
      <c r="E168" s="45">
        <v>1</v>
      </c>
      <c r="F168" s="45">
        <v>120</v>
      </c>
      <c r="G168" s="45">
        <f t="shared" si="43"/>
        <v>3.3600000000000003</v>
      </c>
      <c r="H168" s="45">
        <v>0</v>
      </c>
      <c r="I168" s="45">
        <f aca="true" t="shared" si="50" ref="I168:I182">10*1.05</f>
        <v>10.5</v>
      </c>
      <c r="J168" s="45">
        <f t="shared" si="37"/>
        <v>7.14</v>
      </c>
      <c r="K168" s="135"/>
      <c r="L168" s="136"/>
      <c r="M168" s="94"/>
      <c r="N168" s="150"/>
      <c r="O168" s="61" t="s">
        <v>207</v>
      </c>
      <c r="P168" s="45" t="s">
        <v>172</v>
      </c>
      <c r="Q168" s="71">
        <v>0.042</v>
      </c>
      <c r="R168" s="18">
        <f t="shared" si="44"/>
        <v>4.402</v>
      </c>
      <c r="S168" s="69">
        <f t="shared" si="49"/>
        <v>1</v>
      </c>
      <c r="T168" s="70">
        <f t="shared" si="49"/>
        <v>120</v>
      </c>
      <c r="U168" s="18">
        <f t="shared" si="36"/>
        <v>3.402</v>
      </c>
      <c r="V168" s="45">
        <v>0</v>
      </c>
      <c r="W168" s="69">
        <f t="shared" si="39"/>
        <v>10.5</v>
      </c>
      <c r="X168" s="75">
        <f t="shared" si="40"/>
        <v>7.098</v>
      </c>
      <c r="Y168" s="126"/>
      <c r="Z168" s="139"/>
    </row>
    <row r="169" spans="1:26" s="17" customFormat="1" ht="22.5">
      <c r="A169" s="41"/>
      <c r="B169" s="61" t="s">
        <v>175</v>
      </c>
      <c r="C169" s="45" t="s">
        <v>29</v>
      </c>
      <c r="D169" s="45">
        <v>5.8</v>
      </c>
      <c r="E169" s="45">
        <f>E170+E171</f>
        <v>2.79</v>
      </c>
      <c r="F169" s="45">
        <v>120</v>
      </c>
      <c r="G169" s="45">
        <f t="shared" si="43"/>
        <v>3.01</v>
      </c>
      <c r="H169" s="45">
        <v>0</v>
      </c>
      <c r="I169" s="45">
        <f t="shared" si="50"/>
        <v>10.5</v>
      </c>
      <c r="J169" s="45">
        <f t="shared" si="37"/>
        <v>7.49</v>
      </c>
      <c r="K169" s="135">
        <f>MIN(J169:J171)</f>
        <v>7.49</v>
      </c>
      <c r="L169" s="136" t="str">
        <f>IF(K169&lt;0,"закрыт","открыт")</f>
        <v>открыт</v>
      </c>
      <c r="M169" s="94"/>
      <c r="N169" s="150">
        <v>115</v>
      </c>
      <c r="O169" s="61" t="s">
        <v>175</v>
      </c>
      <c r="P169" s="45" t="s">
        <v>29</v>
      </c>
      <c r="Q169" s="18">
        <f>Q170+Q171</f>
        <v>0.09899999999999999</v>
      </c>
      <c r="R169" s="18">
        <f>R170+R171</f>
        <v>5.879</v>
      </c>
      <c r="S169" s="69">
        <f t="shared" si="49"/>
        <v>2.79</v>
      </c>
      <c r="T169" s="70">
        <f t="shared" si="49"/>
        <v>120</v>
      </c>
      <c r="U169" s="18">
        <f t="shared" si="36"/>
        <v>3.0889999999999995</v>
      </c>
      <c r="V169" s="45">
        <v>0</v>
      </c>
      <c r="W169" s="69">
        <f t="shared" si="39"/>
        <v>10.5</v>
      </c>
      <c r="X169" s="75">
        <f t="shared" si="40"/>
        <v>7.4110000000000005</v>
      </c>
      <c r="Y169" s="140">
        <f>X169</f>
        <v>7.4110000000000005</v>
      </c>
      <c r="Z169" s="152" t="str">
        <f>IF(Y169&lt;0,"закрыт","открыт")</f>
        <v>открыт</v>
      </c>
    </row>
    <row r="170" spans="1:26" s="17" customFormat="1" ht="11.25">
      <c r="A170" s="41">
        <v>115</v>
      </c>
      <c r="B170" s="61" t="s">
        <v>206</v>
      </c>
      <c r="C170" s="45" t="s">
        <v>29</v>
      </c>
      <c r="D170" s="45">
        <v>3.92</v>
      </c>
      <c r="E170" s="45">
        <v>2.46</v>
      </c>
      <c r="F170" s="45">
        <v>120</v>
      </c>
      <c r="G170" s="45">
        <f t="shared" si="43"/>
        <v>1.46</v>
      </c>
      <c r="H170" s="45">
        <v>0</v>
      </c>
      <c r="I170" s="45">
        <f t="shared" si="50"/>
        <v>10.5</v>
      </c>
      <c r="J170" s="45">
        <f t="shared" si="37"/>
        <v>9.04</v>
      </c>
      <c r="K170" s="135"/>
      <c r="L170" s="136"/>
      <c r="M170" s="94"/>
      <c r="N170" s="150"/>
      <c r="O170" s="61" t="s">
        <v>206</v>
      </c>
      <c r="P170" s="45" t="s">
        <v>29</v>
      </c>
      <c r="Q170" s="102">
        <f>Q190+Q194+Q58+Q53+Q202</f>
        <v>0.028</v>
      </c>
      <c r="R170" s="18">
        <f t="shared" si="44"/>
        <v>3.948</v>
      </c>
      <c r="S170" s="69">
        <f t="shared" si="49"/>
        <v>2.46</v>
      </c>
      <c r="T170" s="70">
        <f t="shared" si="49"/>
        <v>120</v>
      </c>
      <c r="U170" s="18">
        <f t="shared" si="36"/>
        <v>1.488</v>
      </c>
      <c r="V170" s="45">
        <v>0</v>
      </c>
      <c r="W170" s="69">
        <f t="shared" si="39"/>
        <v>10.5</v>
      </c>
      <c r="X170" s="75">
        <f t="shared" si="40"/>
        <v>9.012</v>
      </c>
      <c r="Y170" s="125"/>
      <c r="Z170" s="138"/>
    </row>
    <row r="171" spans="1:26" s="17" customFormat="1" ht="11.25">
      <c r="A171" s="41"/>
      <c r="B171" s="61" t="s">
        <v>207</v>
      </c>
      <c r="C171" s="45" t="s">
        <v>29</v>
      </c>
      <c r="D171" s="45">
        <v>1.86</v>
      </c>
      <c r="E171" s="45">
        <v>0.33</v>
      </c>
      <c r="F171" s="45">
        <v>120</v>
      </c>
      <c r="G171" s="45">
        <f t="shared" si="43"/>
        <v>1.53</v>
      </c>
      <c r="H171" s="45">
        <v>0</v>
      </c>
      <c r="I171" s="45">
        <f t="shared" si="50"/>
        <v>10.5</v>
      </c>
      <c r="J171" s="45">
        <f t="shared" si="37"/>
        <v>8.97</v>
      </c>
      <c r="K171" s="135"/>
      <c r="L171" s="136"/>
      <c r="M171" s="94"/>
      <c r="N171" s="150"/>
      <c r="O171" s="61" t="s">
        <v>207</v>
      </c>
      <c r="P171" s="45" t="s">
        <v>29</v>
      </c>
      <c r="Q171" s="71">
        <v>0.071</v>
      </c>
      <c r="R171" s="18">
        <f t="shared" si="44"/>
        <v>1.931</v>
      </c>
      <c r="S171" s="69">
        <f t="shared" si="49"/>
        <v>0.33</v>
      </c>
      <c r="T171" s="70">
        <f t="shared" si="49"/>
        <v>120</v>
      </c>
      <c r="U171" s="18">
        <f t="shared" si="36"/>
        <v>1.601</v>
      </c>
      <c r="V171" s="45">
        <v>0</v>
      </c>
      <c r="W171" s="69">
        <f t="shared" si="39"/>
        <v>10.5</v>
      </c>
      <c r="X171" s="75">
        <f t="shared" si="40"/>
        <v>8.899000000000001</v>
      </c>
      <c r="Y171" s="126"/>
      <c r="Z171" s="139"/>
    </row>
    <row r="172" spans="1:26" s="17" customFormat="1" ht="11.25">
      <c r="A172" s="41"/>
      <c r="B172" s="61" t="s">
        <v>176</v>
      </c>
      <c r="C172" s="45" t="s">
        <v>16</v>
      </c>
      <c r="D172" s="45">
        <v>5.24</v>
      </c>
      <c r="E172" s="45">
        <f>E173+E174</f>
        <v>1.54</v>
      </c>
      <c r="F172" s="45">
        <v>120</v>
      </c>
      <c r="G172" s="45">
        <f t="shared" si="43"/>
        <v>3.7</v>
      </c>
      <c r="H172" s="45">
        <v>0</v>
      </c>
      <c r="I172" s="45">
        <f t="shared" si="50"/>
        <v>10.5</v>
      </c>
      <c r="J172" s="45">
        <f t="shared" si="37"/>
        <v>6.8</v>
      </c>
      <c r="K172" s="135">
        <f>MIN(J172:J174)</f>
        <v>6.8</v>
      </c>
      <c r="L172" s="136" t="str">
        <f>IF(K172&lt;0,"закрыт","открыт")</f>
        <v>открыт</v>
      </c>
      <c r="M172" s="94"/>
      <c r="N172" s="150">
        <v>116</v>
      </c>
      <c r="O172" s="61" t="s">
        <v>176</v>
      </c>
      <c r="P172" s="45" t="s">
        <v>16</v>
      </c>
      <c r="Q172" s="71">
        <f>Q173+Q174</f>
        <v>0.082</v>
      </c>
      <c r="R172" s="18">
        <f>R173+R174</f>
        <v>5.332</v>
      </c>
      <c r="S172" s="69">
        <f t="shared" si="49"/>
        <v>1.54</v>
      </c>
      <c r="T172" s="70">
        <f t="shared" si="49"/>
        <v>120</v>
      </c>
      <c r="U172" s="18">
        <f t="shared" si="36"/>
        <v>3.792</v>
      </c>
      <c r="V172" s="45">
        <v>0</v>
      </c>
      <c r="W172" s="69">
        <f t="shared" si="39"/>
        <v>10.5</v>
      </c>
      <c r="X172" s="75">
        <f t="shared" si="40"/>
        <v>6.708</v>
      </c>
      <c r="Y172" s="140">
        <f>X172</f>
        <v>6.708</v>
      </c>
      <c r="Z172" s="152" t="str">
        <f>IF(Y172&lt;0,"закрыт","открыт")</f>
        <v>открыт</v>
      </c>
    </row>
    <row r="173" spans="1:26" s="17" customFormat="1" ht="11.25">
      <c r="A173" s="41">
        <v>116</v>
      </c>
      <c r="B173" s="61" t="s">
        <v>206</v>
      </c>
      <c r="C173" s="45" t="s">
        <v>16</v>
      </c>
      <c r="D173" s="45">
        <v>1.69</v>
      </c>
      <c r="E173" s="45">
        <v>1.29</v>
      </c>
      <c r="F173" s="45">
        <v>120</v>
      </c>
      <c r="G173" s="45">
        <f t="shared" si="43"/>
        <v>0.3999999999999999</v>
      </c>
      <c r="H173" s="45">
        <v>0</v>
      </c>
      <c r="I173" s="45">
        <f t="shared" si="50"/>
        <v>10.5</v>
      </c>
      <c r="J173" s="45">
        <f t="shared" si="37"/>
        <v>10.1</v>
      </c>
      <c r="K173" s="135"/>
      <c r="L173" s="136"/>
      <c r="M173" s="94"/>
      <c r="N173" s="150"/>
      <c r="O173" s="61" t="s">
        <v>206</v>
      </c>
      <c r="P173" s="45" t="s">
        <v>16</v>
      </c>
      <c r="Q173" s="102">
        <f>Q198+Q54+Q56+Q51</f>
        <v>0.024</v>
      </c>
      <c r="R173" s="18">
        <f t="shared" si="44"/>
        <v>1.714</v>
      </c>
      <c r="S173" s="69">
        <f t="shared" si="49"/>
        <v>1.29</v>
      </c>
      <c r="T173" s="70">
        <f t="shared" si="49"/>
        <v>120</v>
      </c>
      <c r="U173" s="18">
        <f t="shared" si="36"/>
        <v>0.42399999999999993</v>
      </c>
      <c r="V173" s="45">
        <v>0</v>
      </c>
      <c r="W173" s="69">
        <f t="shared" si="39"/>
        <v>10.5</v>
      </c>
      <c r="X173" s="75">
        <f t="shared" si="40"/>
        <v>10.076</v>
      </c>
      <c r="Y173" s="125"/>
      <c r="Z173" s="138"/>
    </row>
    <row r="174" spans="1:26" s="17" customFormat="1" ht="11.25">
      <c r="A174" s="41"/>
      <c r="B174" s="61" t="s">
        <v>207</v>
      </c>
      <c r="C174" s="45" t="s">
        <v>16</v>
      </c>
      <c r="D174" s="45">
        <v>3.56</v>
      </c>
      <c r="E174" s="45">
        <v>0.25</v>
      </c>
      <c r="F174" s="45">
        <v>120</v>
      </c>
      <c r="G174" s="45">
        <f t="shared" si="43"/>
        <v>3.31</v>
      </c>
      <c r="H174" s="45">
        <v>0</v>
      </c>
      <c r="I174" s="45">
        <f t="shared" si="50"/>
        <v>10.5</v>
      </c>
      <c r="J174" s="45">
        <f t="shared" si="37"/>
        <v>7.1899999999999995</v>
      </c>
      <c r="K174" s="135"/>
      <c r="L174" s="136"/>
      <c r="M174" s="94"/>
      <c r="N174" s="150"/>
      <c r="O174" s="61" t="s">
        <v>207</v>
      </c>
      <c r="P174" s="45" t="s">
        <v>16</v>
      </c>
      <c r="Q174" s="71">
        <v>0.058</v>
      </c>
      <c r="R174" s="18">
        <f t="shared" si="44"/>
        <v>3.618</v>
      </c>
      <c r="S174" s="69">
        <f t="shared" si="49"/>
        <v>0.25</v>
      </c>
      <c r="T174" s="70">
        <f t="shared" si="49"/>
        <v>120</v>
      </c>
      <c r="U174" s="18">
        <f t="shared" si="36"/>
        <v>3.368</v>
      </c>
      <c r="V174" s="45">
        <v>0</v>
      </c>
      <c r="W174" s="69">
        <f t="shared" si="39"/>
        <v>10.5</v>
      </c>
      <c r="X174" s="75">
        <f t="shared" si="40"/>
        <v>7.132</v>
      </c>
      <c r="Y174" s="126"/>
      <c r="Z174" s="139"/>
    </row>
    <row r="175" spans="1:26" s="17" customFormat="1" ht="22.5">
      <c r="A175" s="41"/>
      <c r="B175" s="61" t="s">
        <v>177</v>
      </c>
      <c r="C175" s="45" t="s">
        <v>16</v>
      </c>
      <c r="D175" s="45">
        <v>5.84</v>
      </c>
      <c r="E175" s="45">
        <f>E176+E177</f>
        <v>2.84</v>
      </c>
      <c r="F175" s="45">
        <v>120</v>
      </c>
      <c r="G175" s="45">
        <f t="shared" si="43"/>
        <v>3</v>
      </c>
      <c r="H175" s="45">
        <v>0</v>
      </c>
      <c r="I175" s="45">
        <f t="shared" si="50"/>
        <v>10.5</v>
      </c>
      <c r="J175" s="45">
        <f t="shared" si="37"/>
        <v>7.5</v>
      </c>
      <c r="K175" s="135">
        <f>MIN(J175:J177)</f>
        <v>7.5</v>
      </c>
      <c r="L175" s="136" t="str">
        <f>IF(K175&lt;0,"закрыт","открыт")</f>
        <v>открыт</v>
      </c>
      <c r="M175" s="94"/>
      <c r="N175" s="150">
        <v>117</v>
      </c>
      <c r="O175" s="61" t="s">
        <v>177</v>
      </c>
      <c r="P175" s="45" t="s">
        <v>16</v>
      </c>
      <c r="Q175" s="71">
        <f>Q176+Q177</f>
        <v>0.503</v>
      </c>
      <c r="R175" s="18">
        <f>R176+R177</f>
        <v>6.3629999999999995</v>
      </c>
      <c r="S175" s="69">
        <f t="shared" si="49"/>
        <v>2.84</v>
      </c>
      <c r="T175" s="70">
        <f t="shared" si="49"/>
        <v>120</v>
      </c>
      <c r="U175" s="18">
        <f t="shared" si="36"/>
        <v>3.5229999999999997</v>
      </c>
      <c r="V175" s="45">
        <v>0</v>
      </c>
      <c r="W175" s="69">
        <f t="shared" si="39"/>
        <v>10.5</v>
      </c>
      <c r="X175" s="75">
        <f t="shared" si="40"/>
        <v>6.977</v>
      </c>
      <c r="Y175" s="140">
        <f>X175</f>
        <v>6.977</v>
      </c>
      <c r="Z175" s="152" t="str">
        <f>IF(Y175&lt;0,"закрыт","открыт")</f>
        <v>открыт</v>
      </c>
    </row>
    <row r="176" spans="1:26" s="17" customFormat="1" ht="11.25">
      <c r="A176" s="41">
        <v>117</v>
      </c>
      <c r="B176" s="61" t="s">
        <v>206</v>
      </c>
      <c r="C176" s="45" t="s">
        <v>16</v>
      </c>
      <c r="D176" s="45">
        <v>2.41</v>
      </c>
      <c r="E176" s="45">
        <v>2.12</v>
      </c>
      <c r="F176" s="45">
        <v>120</v>
      </c>
      <c r="G176" s="45">
        <f t="shared" si="43"/>
        <v>0.29000000000000004</v>
      </c>
      <c r="H176" s="45">
        <v>0</v>
      </c>
      <c r="I176" s="45">
        <f t="shared" si="50"/>
        <v>10.5</v>
      </c>
      <c r="J176" s="45">
        <f t="shared" si="37"/>
        <v>10.21</v>
      </c>
      <c r="K176" s="135"/>
      <c r="L176" s="136"/>
      <c r="M176" s="94"/>
      <c r="N176" s="150"/>
      <c r="O176" s="61" t="s">
        <v>206</v>
      </c>
      <c r="P176" s="45" t="s">
        <v>16</v>
      </c>
      <c r="Q176" s="102">
        <f>Q185+Q189+Q50</f>
        <v>0.15100000000000002</v>
      </c>
      <c r="R176" s="18">
        <f t="shared" si="44"/>
        <v>2.561</v>
      </c>
      <c r="S176" s="69">
        <f t="shared" si="49"/>
        <v>2.12</v>
      </c>
      <c r="T176" s="70">
        <f t="shared" si="49"/>
        <v>120</v>
      </c>
      <c r="U176" s="18">
        <f t="shared" si="36"/>
        <v>0.44099999999999984</v>
      </c>
      <c r="V176" s="45">
        <v>0</v>
      </c>
      <c r="W176" s="69">
        <f t="shared" si="39"/>
        <v>10.5</v>
      </c>
      <c r="X176" s="75">
        <f t="shared" si="40"/>
        <v>10.059000000000001</v>
      </c>
      <c r="Y176" s="125"/>
      <c r="Z176" s="138"/>
    </row>
    <row r="177" spans="1:26" s="17" customFormat="1" ht="11.25">
      <c r="A177" s="41"/>
      <c r="B177" s="61" t="s">
        <v>207</v>
      </c>
      <c r="C177" s="45" t="s">
        <v>16</v>
      </c>
      <c r="D177" s="45">
        <v>3.45</v>
      </c>
      <c r="E177" s="45">
        <v>0.72</v>
      </c>
      <c r="F177" s="45">
        <v>120</v>
      </c>
      <c r="G177" s="45">
        <f t="shared" si="43"/>
        <v>2.7300000000000004</v>
      </c>
      <c r="H177" s="45">
        <v>0</v>
      </c>
      <c r="I177" s="45">
        <f t="shared" si="50"/>
        <v>10.5</v>
      </c>
      <c r="J177" s="45">
        <f t="shared" si="37"/>
        <v>7.77</v>
      </c>
      <c r="K177" s="135"/>
      <c r="L177" s="136"/>
      <c r="M177" s="94"/>
      <c r="N177" s="150"/>
      <c r="O177" s="61" t="s">
        <v>207</v>
      </c>
      <c r="P177" s="45" t="s">
        <v>16</v>
      </c>
      <c r="Q177" s="71">
        <v>0.352</v>
      </c>
      <c r="R177" s="18">
        <f t="shared" si="44"/>
        <v>3.802</v>
      </c>
      <c r="S177" s="69">
        <f t="shared" si="49"/>
        <v>0.72</v>
      </c>
      <c r="T177" s="70">
        <f t="shared" si="49"/>
        <v>120</v>
      </c>
      <c r="U177" s="18">
        <f t="shared" si="36"/>
        <v>3.082</v>
      </c>
      <c r="V177" s="45">
        <v>0</v>
      </c>
      <c r="W177" s="69">
        <f t="shared" si="39"/>
        <v>10.5</v>
      </c>
      <c r="X177" s="75">
        <f t="shared" si="40"/>
        <v>7.418</v>
      </c>
      <c r="Y177" s="126"/>
      <c r="Z177" s="139"/>
    </row>
    <row r="178" spans="1:26" s="17" customFormat="1" ht="22.5">
      <c r="A178" s="41"/>
      <c r="B178" s="61" t="s">
        <v>178</v>
      </c>
      <c r="C178" s="45" t="s">
        <v>100</v>
      </c>
      <c r="D178" s="45">
        <v>29.08</v>
      </c>
      <c r="E178" s="45">
        <f>E179+E180</f>
        <v>13.39</v>
      </c>
      <c r="F178" s="45">
        <v>120</v>
      </c>
      <c r="G178" s="45">
        <f t="shared" si="43"/>
        <v>15.689999999999998</v>
      </c>
      <c r="H178" s="45">
        <v>0</v>
      </c>
      <c r="I178" s="45">
        <f>25*1.05</f>
        <v>26.25</v>
      </c>
      <c r="J178" s="45">
        <f t="shared" si="37"/>
        <v>10.560000000000002</v>
      </c>
      <c r="K178" s="135">
        <f>MIN(J178:J180)</f>
        <v>10.560000000000002</v>
      </c>
      <c r="L178" s="136" t="str">
        <f>IF(K178&lt;0,"закрыт","открыт")</f>
        <v>открыт</v>
      </c>
      <c r="M178" s="94"/>
      <c r="N178" s="150">
        <v>118</v>
      </c>
      <c r="O178" s="61" t="s">
        <v>178</v>
      </c>
      <c r="P178" s="45" t="s">
        <v>100</v>
      </c>
      <c r="Q178" s="71">
        <f>Q179+Q180</f>
        <v>3.6610000000000005</v>
      </c>
      <c r="R178" s="18">
        <f>R179+R180</f>
        <v>32.891000000000005</v>
      </c>
      <c r="S178" s="69">
        <f t="shared" si="49"/>
        <v>13.39</v>
      </c>
      <c r="T178" s="70">
        <f t="shared" si="49"/>
        <v>120</v>
      </c>
      <c r="U178" s="18">
        <f t="shared" si="36"/>
        <v>19.501000000000005</v>
      </c>
      <c r="V178" s="45">
        <v>0</v>
      </c>
      <c r="W178" s="69">
        <f t="shared" si="39"/>
        <v>26.25</v>
      </c>
      <c r="X178" s="75">
        <f t="shared" si="40"/>
        <v>6.748999999999995</v>
      </c>
      <c r="Y178" s="140">
        <f>X178</f>
        <v>6.748999999999995</v>
      </c>
      <c r="Z178" s="152" t="str">
        <f>IF(Y178&lt;0,"закрыт","открыт")</f>
        <v>открыт</v>
      </c>
    </row>
    <row r="179" spans="1:26" s="17" customFormat="1" ht="11.25">
      <c r="A179" s="41">
        <v>118</v>
      </c>
      <c r="B179" s="61" t="s">
        <v>206</v>
      </c>
      <c r="C179" s="45" t="s">
        <v>100</v>
      </c>
      <c r="D179" s="45">
        <v>13.36</v>
      </c>
      <c r="E179" s="45">
        <v>10.84</v>
      </c>
      <c r="F179" s="45">
        <v>120</v>
      </c>
      <c r="G179" s="45">
        <f t="shared" si="43"/>
        <v>2.5199999999999996</v>
      </c>
      <c r="H179" s="45">
        <v>0</v>
      </c>
      <c r="I179" s="45">
        <f>25*1.05</f>
        <v>26.25</v>
      </c>
      <c r="J179" s="45">
        <f t="shared" si="37"/>
        <v>23.73</v>
      </c>
      <c r="K179" s="135"/>
      <c r="L179" s="136"/>
      <c r="M179" s="94"/>
      <c r="N179" s="150"/>
      <c r="O179" s="61" t="s">
        <v>206</v>
      </c>
      <c r="P179" s="45" t="s">
        <v>100</v>
      </c>
      <c r="Q179" s="108">
        <f>1.95+Q199+Q192+Q193+Q191+Q188+Q195+Q186+Q203+Q59</f>
        <v>2.6960000000000006</v>
      </c>
      <c r="R179" s="18">
        <f t="shared" si="44"/>
        <v>16.056</v>
      </c>
      <c r="S179" s="69">
        <f t="shared" si="49"/>
        <v>10.84</v>
      </c>
      <c r="T179" s="70">
        <f t="shared" si="49"/>
        <v>120</v>
      </c>
      <c r="U179" s="18">
        <f t="shared" si="36"/>
        <v>5.216000000000001</v>
      </c>
      <c r="V179" s="45">
        <v>0</v>
      </c>
      <c r="W179" s="69">
        <f t="shared" si="39"/>
        <v>26.25</v>
      </c>
      <c r="X179" s="75">
        <f t="shared" si="40"/>
        <v>21.034</v>
      </c>
      <c r="Y179" s="125"/>
      <c r="Z179" s="138"/>
    </row>
    <row r="180" spans="1:26" s="17" customFormat="1" ht="11.25">
      <c r="A180" s="41"/>
      <c r="B180" s="61" t="s">
        <v>207</v>
      </c>
      <c r="C180" s="45" t="s">
        <v>100</v>
      </c>
      <c r="D180" s="45">
        <v>15.87</v>
      </c>
      <c r="E180" s="45">
        <v>2.55</v>
      </c>
      <c r="F180" s="45">
        <v>120</v>
      </c>
      <c r="G180" s="45">
        <f t="shared" si="43"/>
        <v>13.32</v>
      </c>
      <c r="H180" s="45">
        <v>0</v>
      </c>
      <c r="I180" s="45">
        <f>25*1.05</f>
        <v>26.25</v>
      </c>
      <c r="J180" s="45">
        <f t="shared" si="37"/>
        <v>12.93</v>
      </c>
      <c r="K180" s="135"/>
      <c r="L180" s="136"/>
      <c r="M180" s="94"/>
      <c r="N180" s="150"/>
      <c r="O180" s="61" t="s">
        <v>207</v>
      </c>
      <c r="P180" s="45" t="s">
        <v>100</v>
      </c>
      <c r="Q180" s="71">
        <v>0.965</v>
      </c>
      <c r="R180" s="18">
        <f t="shared" si="44"/>
        <v>16.835</v>
      </c>
      <c r="S180" s="69">
        <f t="shared" si="49"/>
        <v>2.55</v>
      </c>
      <c r="T180" s="70">
        <f t="shared" si="49"/>
        <v>120</v>
      </c>
      <c r="U180" s="18">
        <f t="shared" si="36"/>
        <v>14.285</v>
      </c>
      <c r="V180" s="45">
        <v>0</v>
      </c>
      <c r="W180" s="69">
        <f t="shared" si="39"/>
        <v>26.25</v>
      </c>
      <c r="X180" s="75">
        <f t="shared" si="40"/>
        <v>11.965</v>
      </c>
      <c r="Y180" s="126"/>
      <c r="Z180" s="139"/>
    </row>
    <row r="181" spans="1:26" s="17" customFormat="1" ht="11.25">
      <c r="A181" s="41"/>
      <c r="B181" s="61" t="s">
        <v>179</v>
      </c>
      <c r="C181" s="45" t="s">
        <v>21</v>
      </c>
      <c r="D181" s="45">
        <v>10.73</v>
      </c>
      <c r="E181" s="45">
        <v>0</v>
      </c>
      <c r="F181" s="45" t="s">
        <v>209</v>
      </c>
      <c r="G181" s="45">
        <f t="shared" si="43"/>
        <v>10.73</v>
      </c>
      <c r="H181" s="45">
        <v>0</v>
      </c>
      <c r="I181" s="45">
        <f>16*1.05</f>
        <v>16.8</v>
      </c>
      <c r="J181" s="45">
        <f t="shared" si="37"/>
        <v>6.07</v>
      </c>
      <c r="K181" s="45">
        <f>J181</f>
        <v>6.07</v>
      </c>
      <c r="L181" s="12" t="str">
        <f>IF(K181&lt;0,"закрыт","открыт")</f>
        <v>открыт</v>
      </c>
      <c r="M181" s="94"/>
      <c r="N181" s="41">
        <v>119</v>
      </c>
      <c r="O181" s="61" t="s">
        <v>179</v>
      </c>
      <c r="P181" s="45" t="s">
        <v>21</v>
      </c>
      <c r="Q181" s="71">
        <v>0</v>
      </c>
      <c r="R181" s="18">
        <f t="shared" si="44"/>
        <v>10.73</v>
      </c>
      <c r="S181" s="69">
        <f t="shared" si="49"/>
        <v>0</v>
      </c>
      <c r="T181" s="70"/>
      <c r="U181" s="18">
        <f t="shared" si="36"/>
        <v>10.73</v>
      </c>
      <c r="V181" s="45">
        <v>0</v>
      </c>
      <c r="W181" s="69">
        <f t="shared" si="39"/>
        <v>16.8</v>
      </c>
      <c r="X181" s="75">
        <f t="shared" si="40"/>
        <v>6.07</v>
      </c>
      <c r="Y181" s="76">
        <f t="shared" si="41"/>
        <v>6.07</v>
      </c>
      <c r="Z181" s="16" t="str">
        <f t="shared" si="42"/>
        <v>открыт</v>
      </c>
    </row>
    <row r="182" spans="1:26" s="17" customFormat="1" ht="11.25">
      <c r="A182" s="41">
        <v>119</v>
      </c>
      <c r="B182" s="61" t="s">
        <v>180</v>
      </c>
      <c r="C182" s="45" t="s">
        <v>16</v>
      </c>
      <c r="D182" s="45">
        <v>5.07</v>
      </c>
      <c r="E182" s="45">
        <v>0</v>
      </c>
      <c r="F182" s="45" t="s">
        <v>209</v>
      </c>
      <c r="G182" s="45">
        <f t="shared" si="43"/>
        <v>5.07</v>
      </c>
      <c r="H182" s="45">
        <v>0</v>
      </c>
      <c r="I182" s="45">
        <f t="shared" si="50"/>
        <v>10.5</v>
      </c>
      <c r="J182" s="45">
        <f t="shared" si="37"/>
        <v>5.43</v>
      </c>
      <c r="K182" s="45">
        <f aca="true" t="shared" si="51" ref="K182:K205">J182</f>
        <v>5.43</v>
      </c>
      <c r="L182" s="12" t="str">
        <f aca="true" t="shared" si="52" ref="L182:L205">IF(K182&lt;0,"закрыт","открыт")</f>
        <v>открыт</v>
      </c>
      <c r="M182" s="94"/>
      <c r="N182" s="41">
        <v>120</v>
      </c>
      <c r="O182" s="61" t="s">
        <v>180</v>
      </c>
      <c r="P182" s="45" t="s">
        <v>16</v>
      </c>
      <c r="Q182" s="71">
        <v>0</v>
      </c>
      <c r="R182" s="18">
        <f t="shared" si="44"/>
        <v>5.07</v>
      </c>
      <c r="S182" s="69">
        <f t="shared" si="49"/>
        <v>0</v>
      </c>
      <c r="T182" s="70"/>
      <c r="U182" s="18">
        <f aca="true" t="shared" si="53" ref="U182:U205">R182-S182</f>
        <v>5.07</v>
      </c>
      <c r="V182" s="45">
        <v>0</v>
      </c>
      <c r="W182" s="69">
        <f t="shared" si="39"/>
        <v>10.5</v>
      </c>
      <c r="X182" s="75">
        <f t="shared" si="40"/>
        <v>5.43</v>
      </c>
      <c r="Y182" s="76">
        <f t="shared" si="41"/>
        <v>5.43</v>
      </c>
      <c r="Z182" s="16" t="str">
        <f t="shared" si="42"/>
        <v>открыт</v>
      </c>
    </row>
    <row r="183" spans="1:26" s="17" customFormat="1" ht="11.25">
      <c r="A183" s="41">
        <v>120</v>
      </c>
      <c r="B183" s="61" t="s">
        <v>181</v>
      </c>
      <c r="C183" s="45" t="s">
        <v>20</v>
      </c>
      <c r="D183" s="45">
        <v>1.81</v>
      </c>
      <c r="E183" s="45">
        <v>1.85</v>
      </c>
      <c r="F183" s="45">
        <v>120</v>
      </c>
      <c r="G183" s="45">
        <f t="shared" si="43"/>
        <v>-0.040000000000000036</v>
      </c>
      <c r="H183" s="45">
        <v>0</v>
      </c>
      <c r="I183" s="19">
        <f>6.3*1.05</f>
        <v>6.615</v>
      </c>
      <c r="J183" s="19">
        <f t="shared" si="37"/>
        <v>6.655</v>
      </c>
      <c r="K183" s="19">
        <f t="shared" si="51"/>
        <v>6.655</v>
      </c>
      <c r="L183" s="12" t="str">
        <f t="shared" si="52"/>
        <v>открыт</v>
      </c>
      <c r="M183" s="94"/>
      <c r="N183" s="41">
        <v>121</v>
      </c>
      <c r="O183" s="61" t="s">
        <v>181</v>
      </c>
      <c r="P183" s="45" t="s">
        <v>20</v>
      </c>
      <c r="Q183" s="71">
        <v>0.033</v>
      </c>
      <c r="R183" s="18">
        <f t="shared" si="44"/>
        <v>1.843</v>
      </c>
      <c r="S183" s="69">
        <f t="shared" si="49"/>
        <v>1.85</v>
      </c>
      <c r="T183" s="70">
        <f t="shared" si="49"/>
        <v>120</v>
      </c>
      <c r="U183" s="18">
        <f t="shared" si="53"/>
        <v>-0.007000000000000117</v>
      </c>
      <c r="V183" s="45">
        <v>0</v>
      </c>
      <c r="W183" s="69">
        <f t="shared" si="39"/>
        <v>6.615</v>
      </c>
      <c r="X183" s="75">
        <f t="shared" si="40"/>
        <v>6.622</v>
      </c>
      <c r="Y183" s="76">
        <f t="shared" si="41"/>
        <v>6.622</v>
      </c>
      <c r="Z183" s="16" t="str">
        <f t="shared" si="42"/>
        <v>открыт</v>
      </c>
    </row>
    <row r="184" spans="1:26" s="17" customFormat="1" ht="11.25">
      <c r="A184" s="41">
        <v>121</v>
      </c>
      <c r="B184" s="61" t="s">
        <v>182</v>
      </c>
      <c r="C184" s="45" t="s">
        <v>183</v>
      </c>
      <c r="D184" s="45">
        <v>1.69</v>
      </c>
      <c r="E184" s="45">
        <v>0.29</v>
      </c>
      <c r="F184" s="45">
        <v>120</v>
      </c>
      <c r="G184" s="45">
        <f t="shared" si="43"/>
        <v>1.4</v>
      </c>
      <c r="H184" s="45">
        <v>0</v>
      </c>
      <c r="I184" s="45">
        <f>5.6*1.05</f>
        <v>5.88</v>
      </c>
      <c r="J184" s="45">
        <f t="shared" si="37"/>
        <v>4.48</v>
      </c>
      <c r="K184" s="45">
        <f t="shared" si="51"/>
        <v>4.48</v>
      </c>
      <c r="L184" s="12" t="str">
        <f t="shared" si="52"/>
        <v>открыт</v>
      </c>
      <c r="M184" s="94"/>
      <c r="N184" s="41">
        <v>122</v>
      </c>
      <c r="O184" s="61" t="s">
        <v>182</v>
      </c>
      <c r="P184" s="45" t="s">
        <v>183</v>
      </c>
      <c r="Q184" s="71">
        <v>0.693</v>
      </c>
      <c r="R184" s="18">
        <f t="shared" si="44"/>
        <v>2.383</v>
      </c>
      <c r="S184" s="69">
        <f t="shared" si="49"/>
        <v>0.29</v>
      </c>
      <c r="T184" s="70">
        <f t="shared" si="49"/>
        <v>120</v>
      </c>
      <c r="U184" s="18">
        <f t="shared" si="53"/>
        <v>2.093</v>
      </c>
      <c r="V184" s="45">
        <v>0</v>
      </c>
      <c r="W184" s="69">
        <f t="shared" si="39"/>
        <v>5.88</v>
      </c>
      <c r="X184" s="75">
        <f t="shared" si="40"/>
        <v>3.787</v>
      </c>
      <c r="Y184" s="76">
        <f t="shared" si="41"/>
        <v>3.787</v>
      </c>
      <c r="Z184" s="16" t="str">
        <f t="shared" si="42"/>
        <v>открыт</v>
      </c>
    </row>
    <row r="185" spans="1:26" s="17" customFormat="1" ht="11.25">
      <c r="A185" s="41">
        <v>122</v>
      </c>
      <c r="B185" s="61" t="s">
        <v>184</v>
      </c>
      <c r="C185" s="45" t="s">
        <v>19</v>
      </c>
      <c r="D185" s="45">
        <v>0.61</v>
      </c>
      <c r="E185" s="45">
        <v>0.13</v>
      </c>
      <c r="F185" s="45">
        <v>120</v>
      </c>
      <c r="G185" s="45">
        <f t="shared" si="43"/>
        <v>0.48</v>
      </c>
      <c r="H185" s="45">
        <v>0</v>
      </c>
      <c r="I185" s="45">
        <f>1.6*1.05</f>
        <v>1.6800000000000002</v>
      </c>
      <c r="J185" s="45">
        <f t="shared" si="37"/>
        <v>1.2000000000000002</v>
      </c>
      <c r="K185" s="45">
        <f t="shared" si="51"/>
        <v>1.2000000000000002</v>
      </c>
      <c r="L185" s="12" t="str">
        <f t="shared" si="52"/>
        <v>открыт</v>
      </c>
      <c r="M185" s="94"/>
      <c r="N185" s="41">
        <v>123</v>
      </c>
      <c r="O185" s="61" t="s">
        <v>184</v>
      </c>
      <c r="P185" s="45" t="s">
        <v>19</v>
      </c>
      <c r="Q185" s="71">
        <v>0.07</v>
      </c>
      <c r="R185" s="18">
        <f t="shared" si="44"/>
        <v>0.6799999999999999</v>
      </c>
      <c r="S185" s="69">
        <f t="shared" si="49"/>
        <v>0.13</v>
      </c>
      <c r="T185" s="70">
        <f t="shared" si="49"/>
        <v>120</v>
      </c>
      <c r="U185" s="18">
        <f t="shared" si="53"/>
        <v>0.5499999999999999</v>
      </c>
      <c r="V185" s="45">
        <v>0</v>
      </c>
      <c r="W185" s="69">
        <f t="shared" si="39"/>
        <v>1.6800000000000002</v>
      </c>
      <c r="X185" s="75">
        <f t="shared" si="40"/>
        <v>1.1300000000000003</v>
      </c>
      <c r="Y185" s="76">
        <f t="shared" si="41"/>
        <v>1.1300000000000003</v>
      </c>
      <c r="Z185" s="16" t="str">
        <f t="shared" si="42"/>
        <v>открыт</v>
      </c>
    </row>
    <row r="186" spans="1:26" s="17" customFormat="1" ht="11.25">
      <c r="A186" s="41">
        <v>123</v>
      </c>
      <c r="B186" s="61" t="s">
        <v>185</v>
      </c>
      <c r="C186" s="45" t="s">
        <v>17</v>
      </c>
      <c r="D186" s="45">
        <v>1.6</v>
      </c>
      <c r="E186" s="45">
        <v>0.65</v>
      </c>
      <c r="F186" s="45">
        <v>120</v>
      </c>
      <c r="G186" s="45">
        <f t="shared" si="43"/>
        <v>0.9500000000000001</v>
      </c>
      <c r="H186" s="45">
        <v>0</v>
      </c>
      <c r="I186" s="19">
        <f>2.5*1.05</f>
        <v>2.625</v>
      </c>
      <c r="J186" s="19">
        <f aca="true" t="shared" si="54" ref="J186:J205">I186-H186-G186</f>
        <v>1.6749999999999998</v>
      </c>
      <c r="K186" s="19">
        <f t="shared" si="51"/>
        <v>1.6749999999999998</v>
      </c>
      <c r="L186" s="12" t="str">
        <f t="shared" si="52"/>
        <v>открыт</v>
      </c>
      <c r="M186" s="94"/>
      <c r="N186" s="41">
        <v>124</v>
      </c>
      <c r="O186" s="61" t="s">
        <v>185</v>
      </c>
      <c r="P186" s="45" t="s">
        <v>17</v>
      </c>
      <c r="Q186" s="71">
        <v>0.052</v>
      </c>
      <c r="R186" s="18">
        <f t="shared" si="44"/>
        <v>1.6520000000000001</v>
      </c>
      <c r="S186" s="69">
        <f t="shared" si="49"/>
        <v>0.65</v>
      </c>
      <c r="T186" s="70">
        <f t="shared" si="49"/>
        <v>120</v>
      </c>
      <c r="U186" s="18">
        <f t="shared" si="53"/>
        <v>1.0020000000000002</v>
      </c>
      <c r="V186" s="45">
        <v>0</v>
      </c>
      <c r="W186" s="69">
        <f t="shared" si="39"/>
        <v>2.625</v>
      </c>
      <c r="X186" s="75">
        <f t="shared" si="40"/>
        <v>1.6229999999999998</v>
      </c>
      <c r="Y186" s="76">
        <f t="shared" si="41"/>
        <v>1.6229999999999998</v>
      </c>
      <c r="Z186" s="16" t="str">
        <f t="shared" si="42"/>
        <v>открыт</v>
      </c>
    </row>
    <row r="187" spans="1:26" s="17" customFormat="1" ht="11.25">
      <c r="A187" s="41">
        <v>124</v>
      </c>
      <c r="B187" s="61" t="s">
        <v>186</v>
      </c>
      <c r="C187" s="45" t="s">
        <v>27</v>
      </c>
      <c r="D187" s="45">
        <v>0.76</v>
      </c>
      <c r="E187" s="45">
        <v>0.43</v>
      </c>
      <c r="F187" s="45">
        <v>120</v>
      </c>
      <c r="G187" s="45">
        <f t="shared" si="43"/>
        <v>0.33</v>
      </c>
      <c r="H187" s="45">
        <v>0</v>
      </c>
      <c r="I187" s="19">
        <f>2.5*1.05</f>
        <v>2.625</v>
      </c>
      <c r="J187" s="19">
        <f t="shared" si="54"/>
        <v>2.295</v>
      </c>
      <c r="K187" s="19">
        <f t="shared" si="51"/>
        <v>2.295</v>
      </c>
      <c r="L187" s="12" t="str">
        <f t="shared" si="52"/>
        <v>открыт</v>
      </c>
      <c r="M187" s="94"/>
      <c r="N187" s="41">
        <v>125</v>
      </c>
      <c r="O187" s="61" t="s">
        <v>186</v>
      </c>
      <c r="P187" s="45" t="s">
        <v>27</v>
      </c>
      <c r="Q187" s="71">
        <v>0</v>
      </c>
      <c r="R187" s="18">
        <f t="shared" si="44"/>
        <v>0.76</v>
      </c>
      <c r="S187" s="69">
        <f t="shared" si="49"/>
        <v>0.43</v>
      </c>
      <c r="T187" s="70">
        <f t="shared" si="49"/>
        <v>120</v>
      </c>
      <c r="U187" s="18">
        <f t="shared" si="53"/>
        <v>0.33</v>
      </c>
      <c r="V187" s="45">
        <v>0</v>
      </c>
      <c r="W187" s="69">
        <f t="shared" si="39"/>
        <v>2.625</v>
      </c>
      <c r="X187" s="75">
        <f t="shared" si="40"/>
        <v>2.295</v>
      </c>
      <c r="Y187" s="76">
        <f t="shared" si="41"/>
        <v>2.295</v>
      </c>
      <c r="Z187" s="16" t="str">
        <f t="shared" si="42"/>
        <v>открыт</v>
      </c>
    </row>
    <row r="188" spans="1:26" s="17" customFormat="1" ht="11.25">
      <c r="A188" s="41">
        <v>125</v>
      </c>
      <c r="B188" s="61" t="s">
        <v>187</v>
      </c>
      <c r="C188" s="45" t="s">
        <v>109</v>
      </c>
      <c r="D188" s="45">
        <v>1.1</v>
      </c>
      <c r="E188" s="45">
        <v>0.56</v>
      </c>
      <c r="F188" s="45">
        <v>120</v>
      </c>
      <c r="G188" s="45">
        <f t="shared" si="43"/>
        <v>0.54</v>
      </c>
      <c r="H188" s="45">
        <v>0</v>
      </c>
      <c r="I188" s="45">
        <f>1.6*1.05</f>
        <v>1.6800000000000002</v>
      </c>
      <c r="J188" s="45">
        <f t="shared" si="54"/>
        <v>1.1400000000000001</v>
      </c>
      <c r="K188" s="45">
        <f t="shared" si="51"/>
        <v>1.1400000000000001</v>
      </c>
      <c r="L188" s="12" t="str">
        <f t="shared" si="52"/>
        <v>открыт</v>
      </c>
      <c r="M188" s="94"/>
      <c r="N188" s="41">
        <v>126</v>
      </c>
      <c r="O188" s="61" t="s">
        <v>187</v>
      </c>
      <c r="P188" s="45" t="s">
        <v>109</v>
      </c>
      <c r="Q188" s="71">
        <v>0.027</v>
      </c>
      <c r="R188" s="18">
        <f t="shared" si="44"/>
        <v>1.127</v>
      </c>
      <c r="S188" s="69">
        <f t="shared" si="49"/>
        <v>0.56</v>
      </c>
      <c r="T188" s="70">
        <f t="shared" si="49"/>
        <v>120</v>
      </c>
      <c r="U188" s="18">
        <f t="shared" si="53"/>
        <v>0.567</v>
      </c>
      <c r="V188" s="45">
        <v>0</v>
      </c>
      <c r="W188" s="69">
        <f t="shared" si="39"/>
        <v>1.6800000000000002</v>
      </c>
      <c r="X188" s="75">
        <f t="shared" si="40"/>
        <v>1.1130000000000002</v>
      </c>
      <c r="Y188" s="76">
        <f t="shared" si="41"/>
        <v>1.1130000000000002</v>
      </c>
      <c r="Z188" s="16" t="str">
        <f t="shared" si="42"/>
        <v>открыт</v>
      </c>
    </row>
    <row r="189" spans="1:26" s="17" customFormat="1" ht="11.25">
      <c r="A189" s="41">
        <v>126</v>
      </c>
      <c r="B189" s="61" t="s">
        <v>188</v>
      </c>
      <c r="C189" s="45" t="s">
        <v>27</v>
      </c>
      <c r="D189" s="45">
        <v>1.34</v>
      </c>
      <c r="E189" s="45">
        <v>0</v>
      </c>
      <c r="F189" s="45" t="s">
        <v>209</v>
      </c>
      <c r="G189" s="45">
        <f t="shared" si="43"/>
        <v>1.34</v>
      </c>
      <c r="H189" s="45">
        <v>0</v>
      </c>
      <c r="I189" s="19">
        <f>2.5*1.05</f>
        <v>2.625</v>
      </c>
      <c r="J189" s="19">
        <f t="shared" si="54"/>
        <v>1.285</v>
      </c>
      <c r="K189" s="19">
        <f t="shared" si="51"/>
        <v>1.285</v>
      </c>
      <c r="L189" s="12" t="str">
        <f t="shared" si="52"/>
        <v>открыт</v>
      </c>
      <c r="M189" s="94"/>
      <c r="N189" s="41">
        <v>127</v>
      </c>
      <c r="O189" s="61" t="s">
        <v>188</v>
      </c>
      <c r="P189" s="45" t="s">
        <v>27</v>
      </c>
      <c r="Q189" s="71">
        <v>0.081</v>
      </c>
      <c r="R189" s="18">
        <f t="shared" si="44"/>
        <v>1.421</v>
      </c>
      <c r="S189" s="69">
        <f t="shared" si="49"/>
        <v>0</v>
      </c>
      <c r="T189" s="70"/>
      <c r="U189" s="18">
        <f t="shared" si="53"/>
        <v>1.421</v>
      </c>
      <c r="V189" s="45">
        <v>0</v>
      </c>
      <c r="W189" s="69">
        <f aca="true" t="shared" si="55" ref="W189:W205">I189</f>
        <v>2.625</v>
      </c>
      <c r="X189" s="75">
        <f aca="true" t="shared" si="56" ref="X189:X205">W189-V189-U189</f>
        <v>1.204</v>
      </c>
      <c r="Y189" s="76">
        <f aca="true" t="shared" si="57" ref="Y189:Y205">X189</f>
        <v>1.204</v>
      </c>
      <c r="Z189" s="16" t="str">
        <f aca="true" t="shared" si="58" ref="Z189:Z205">IF(Y189&lt;0,"закрыт","открыт")</f>
        <v>открыт</v>
      </c>
    </row>
    <row r="190" spans="1:26" s="17" customFormat="1" ht="11.25">
      <c r="A190" s="41">
        <v>127</v>
      </c>
      <c r="B190" s="61" t="s">
        <v>189</v>
      </c>
      <c r="C190" s="45" t="s">
        <v>20</v>
      </c>
      <c r="D190" s="45">
        <v>2.44</v>
      </c>
      <c r="E190" s="45">
        <v>0.39</v>
      </c>
      <c r="F190" s="45">
        <v>120</v>
      </c>
      <c r="G190" s="45">
        <f t="shared" si="43"/>
        <v>2.05</v>
      </c>
      <c r="H190" s="45">
        <v>0</v>
      </c>
      <c r="I190" s="19">
        <f>6.3*1.05</f>
        <v>6.615</v>
      </c>
      <c r="J190" s="19">
        <f t="shared" si="54"/>
        <v>4.565</v>
      </c>
      <c r="K190" s="19">
        <f t="shared" si="51"/>
        <v>4.565</v>
      </c>
      <c r="L190" s="12" t="str">
        <f t="shared" si="52"/>
        <v>открыт</v>
      </c>
      <c r="M190" s="94"/>
      <c r="N190" s="41">
        <v>128</v>
      </c>
      <c r="O190" s="61" t="s">
        <v>189</v>
      </c>
      <c r="P190" s="45" t="s">
        <v>20</v>
      </c>
      <c r="Q190" s="71">
        <v>0.018</v>
      </c>
      <c r="R190" s="18">
        <f t="shared" si="44"/>
        <v>2.4579999999999997</v>
      </c>
      <c r="S190" s="69">
        <f t="shared" si="49"/>
        <v>0.39</v>
      </c>
      <c r="T190" s="70">
        <f t="shared" si="49"/>
        <v>120</v>
      </c>
      <c r="U190" s="18">
        <f t="shared" si="53"/>
        <v>2.0679999999999996</v>
      </c>
      <c r="V190" s="45">
        <v>0</v>
      </c>
      <c r="W190" s="69">
        <f t="shared" si="55"/>
        <v>6.615</v>
      </c>
      <c r="X190" s="75">
        <f t="shared" si="56"/>
        <v>4.547000000000001</v>
      </c>
      <c r="Y190" s="76">
        <f t="shared" si="57"/>
        <v>4.547000000000001</v>
      </c>
      <c r="Z190" s="16" t="str">
        <f t="shared" si="58"/>
        <v>открыт</v>
      </c>
    </row>
    <row r="191" spans="1:26" s="17" customFormat="1" ht="11.25">
      <c r="A191" s="41">
        <v>128</v>
      </c>
      <c r="B191" s="61" t="s">
        <v>190</v>
      </c>
      <c r="C191" s="45" t="s">
        <v>25</v>
      </c>
      <c r="D191" s="45">
        <v>1.59</v>
      </c>
      <c r="E191" s="45">
        <v>0.87</v>
      </c>
      <c r="F191" s="45">
        <v>120</v>
      </c>
      <c r="G191" s="45">
        <f t="shared" si="43"/>
        <v>0.7200000000000001</v>
      </c>
      <c r="H191" s="45">
        <v>0</v>
      </c>
      <c r="I191" s="45">
        <f>1.6*1.05</f>
        <v>1.6800000000000002</v>
      </c>
      <c r="J191" s="45">
        <f t="shared" si="54"/>
        <v>0.9600000000000001</v>
      </c>
      <c r="K191" s="45">
        <f t="shared" si="51"/>
        <v>0.9600000000000001</v>
      </c>
      <c r="L191" s="12" t="str">
        <f t="shared" si="52"/>
        <v>открыт</v>
      </c>
      <c r="M191" s="94"/>
      <c r="N191" s="41">
        <v>129</v>
      </c>
      <c r="O191" s="61" t="s">
        <v>190</v>
      </c>
      <c r="P191" s="45" t="s">
        <v>25</v>
      </c>
      <c r="Q191" s="71">
        <v>0.126</v>
      </c>
      <c r="R191" s="18">
        <f t="shared" si="44"/>
        <v>1.7160000000000002</v>
      </c>
      <c r="S191" s="69">
        <f t="shared" si="49"/>
        <v>0.87</v>
      </c>
      <c r="T191" s="70">
        <f t="shared" si="49"/>
        <v>120</v>
      </c>
      <c r="U191" s="18">
        <f t="shared" si="53"/>
        <v>0.8460000000000002</v>
      </c>
      <c r="V191" s="45">
        <v>0</v>
      </c>
      <c r="W191" s="69">
        <f t="shared" si="55"/>
        <v>1.6800000000000002</v>
      </c>
      <c r="X191" s="75">
        <f t="shared" si="56"/>
        <v>0.834</v>
      </c>
      <c r="Y191" s="76">
        <f t="shared" si="57"/>
        <v>0.834</v>
      </c>
      <c r="Z191" s="16" t="str">
        <f t="shared" si="58"/>
        <v>открыт</v>
      </c>
    </row>
    <row r="192" spans="1:26" s="17" customFormat="1" ht="11.25">
      <c r="A192" s="41">
        <v>129</v>
      </c>
      <c r="B192" s="61" t="s">
        <v>191</v>
      </c>
      <c r="C192" s="45" t="s">
        <v>32</v>
      </c>
      <c r="D192" s="45">
        <v>3.15</v>
      </c>
      <c r="E192" s="45">
        <v>1.11</v>
      </c>
      <c r="F192" s="45">
        <v>80</v>
      </c>
      <c r="G192" s="45">
        <f t="shared" si="43"/>
        <v>2.04</v>
      </c>
      <c r="H192" s="45">
        <v>0</v>
      </c>
      <c r="I192" s="45">
        <f>4*1.05</f>
        <v>4.2</v>
      </c>
      <c r="J192" s="45">
        <f t="shared" si="54"/>
        <v>2.16</v>
      </c>
      <c r="K192" s="45">
        <f t="shared" si="51"/>
        <v>2.16</v>
      </c>
      <c r="L192" s="12" t="str">
        <f t="shared" si="52"/>
        <v>открыт</v>
      </c>
      <c r="M192" s="94"/>
      <c r="N192" s="41">
        <v>130</v>
      </c>
      <c r="O192" s="61" t="s">
        <v>191</v>
      </c>
      <c r="P192" s="45" t="s">
        <v>32</v>
      </c>
      <c r="Q192" s="71">
        <v>0.265</v>
      </c>
      <c r="R192" s="18">
        <f t="shared" si="44"/>
        <v>3.415</v>
      </c>
      <c r="S192" s="69">
        <f t="shared" si="49"/>
        <v>1.11</v>
      </c>
      <c r="T192" s="70">
        <f t="shared" si="49"/>
        <v>80</v>
      </c>
      <c r="U192" s="18">
        <f t="shared" si="53"/>
        <v>2.3049999999999997</v>
      </c>
      <c r="V192" s="45">
        <v>0</v>
      </c>
      <c r="W192" s="69">
        <f t="shared" si="55"/>
        <v>4.2</v>
      </c>
      <c r="X192" s="75">
        <f t="shared" si="56"/>
        <v>1.8950000000000005</v>
      </c>
      <c r="Y192" s="76">
        <f t="shared" si="57"/>
        <v>1.8950000000000005</v>
      </c>
      <c r="Z192" s="16" t="str">
        <f t="shared" si="58"/>
        <v>открыт</v>
      </c>
    </row>
    <row r="193" spans="1:26" s="17" customFormat="1" ht="11.25">
      <c r="A193" s="41">
        <v>130</v>
      </c>
      <c r="B193" s="61" t="s">
        <v>192</v>
      </c>
      <c r="C193" s="45" t="s">
        <v>19</v>
      </c>
      <c r="D193" s="45">
        <v>0.15</v>
      </c>
      <c r="E193" s="45">
        <v>0</v>
      </c>
      <c r="F193" s="45" t="s">
        <v>209</v>
      </c>
      <c r="G193" s="45">
        <f t="shared" si="43"/>
        <v>0.15</v>
      </c>
      <c r="H193" s="45">
        <v>0</v>
      </c>
      <c r="I193" s="45">
        <f>1.6*1.05</f>
        <v>1.6800000000000002</v>
      </c>
      <c r="J193" s="45">
        <f t="shared" si="54"/>
        <v>1.5300000000000002</v>
      </c>
      <c r="K193" s="45">
        <f t="shared" si="51"/>
        <v>1.5300000000000002</v>
      </c>
      <c r="L193" s="12" t="str">
        <f t="shared" si="52"/>
        <v>открыт</v>
      </c>
      <c r="M193" s="94"/>
      <c r="N193" s="41">
        <v>131</v>
      </c>
      <c r="O193" s="61" t="s">
        <v>192</v>
      </c>
      <c r="P193" s="45" t="s">
        <v>19</v>
      </c>
      <c r="Q193" s="71">
        <v>0.008</v>
      </c>
      <c r="R193" s="18">
        <f t="shared" si="44"/>
        <v>0.158</v>
      </c>
      <c r="S193" s="69">
        <f t="shared" si="49"/>
        <v>0</v>
      </c>
      <c r="T193" s="70"/>
      <c r="U193" s="18">
        <f t="shared" si="53"/>
        <v>0.158</v>
      </c>
      <c r="V193" s="45">
        <v>0</v>
      </c>
      <c r="W193" s="69">
        <f t="shared" si="55"/>
        <v>1.6800000000000002</v>
      </c>
      <c r="X193" s="75">
        <f t="shared" si="56"/>
        <v>1.5220000000000002</v>
      </c>
      <c r="Y193" s="76">
        <f t="shared" si="57"/>
        <v>1.5220000000000002</v>
      </c>
      <c r="Z193" s="16" t="str">
        <f t="shared" si="58"/>
        <v>открыт</v>
      </c>
    </row>
    <row r="194" spans="1:26" s="17" customFormat="1" ht="11.25">
      <c r="A194" s="41">
        <v>131</v>
      </c>
      <c r="B194" s="61" t="s">
        <v>193</v>
      </c>
      <c r="C194" s="45" t="s">
        <v>17</v>
      </c>
      <c r="D194" s="45">
        <v>0.44</v>
      </c>
      <c r="E194" s="45">
        <v>0.39</v>
      </c>
      <c r="F194" s="45" t="s">
        <v>209</v>
      </c>
      <c r="G194" s="45">
        <f t="shared" si="43"/>
        <v>0.04999999999999999</v>
      </c>
      <c r="H194" s="45">
        <v>0</v>
      </c>
      <c r="I194" s="19">
        <f aca="true" t="shared" si="59" ref="I194:I200">2.5*1.05</f>
        <v>2.625</v>
      </c>
      <c r="J194" s="19">
        <f t="shared" si="54"/>
        <v>2.575</v>
      </c>
      <c r="K194" s="19">
        <f t="shared" si="51"/>
        <v>2.575</v>
      </c>
      <c r="L194" s="12" t="str">
        <f t="shared" si="52"/>
        <v>открыт</v>
      </c>
      <c r="M194" s="94"/>
      <c r="N194" s="41">
        <v>132</v>
      </c>
      <c r="O194" s="61" t="s">
        <v>193</v>
      </c>
      <c r="P194" s="45" t="s">
        <v>17</v>
      </c>
      <c r="Q194" s="71">
        <v>0</v>
      </c>
      <c r="R194" s="18">
        <f t="shared" si="44"/>
        <v>0.44</v>
      </c>
      <c r="S194" s="69">
        <f t="shared" si="49"/>
        <v>0.39</v>
      </c>
      <c r="T194" s="70"/>
      <c r="U194" s="18">
        <f t="shared" si="53"/>
        <v>0.04999999999999999</v>
      </c>
      <c r="V194" s="45">
        <v>0</v>
      </c>
      <c r="W194" s="69">
        <f t="shared" si="55"/>
        <v>2.625</v>
      </c>
      <c r="X194" s="75">
        <f t="shared" si="56"/>
        <v>2.575</v>
      </c>
      <c r="Y194" s="76">
        <f t="shared" si="57"/>
        <v>2.575</v>
      </c>
      <c r="Z194" s="16" t="str">
        <f t="shared" si="58"/>
        <v>открыт</v>
      </c>
    </row>
    <row r="195" spans="1:26" s="17" customFormat="1" ht="11.25">
      <c r="A195" s="41">
        <v>132</v>
      </c>
      <c r="B195" s="61" t="s">
        <v>194</v>
      </c>
      <c r="C195" s="45" t="s">
        <v>195</v>
      </c>
      <c r="D195" s="45">
        <v>1.85</v>
      </c>
      <c r="E195" s="45">
        <v>0.54</v>
      </c>
      <c r="F195" s="45">
        <v>80</v>
      </c>
      <c r="G195" s="45">
        <f t="shared" si="43"/>
        <v>1.31</v>
      </c>
      <c r="H195" s="45">
        <v>0</v>
      </c>
      <c r="I195" s="19">
        <f t="shared" si="59"/>
        <v>2.625</v>
      </c>
      <c r="J195" s="19">
        <f t="shared" si="54"/>
        <v>1.315</v>
      </c>
      <c r="K195" s="19">
        <f t="shared" si="51"/>
        <v>1.315</v>
      </c>
      <c r="L195" s="12" t="str">
        <f t="shared" si="52"/>
        <v>открыт</v>
      </c>
      <c r="M195" s="94"/>
      <c r="N195" s="41">
        <v>133</v>
      </c>
      <c r="O195" s="61" t="s">
        <v>194</v>
      </c>
      <c r="P195" s="45" t="s">
        <v>195</v>
      </c>
      <c r="Q195" s="71">
        <v>0.087</v>
      </c>
      <c r="R195" s="18">
        <f t="shared" si="44"/>
        <v>1.937</v>
      </c>
      <c r="S195" s="69">
        <f t="shared" si="49"/>
        <v>0.54</v>
      </c>
      <c r="T195" s="70">
        <f t="shared" si="49"/>
        <v>80</v>
      </c>
      <c r="U195" s="18">
        <f t="shared" si="53"/>
        <v>1.397</v>
      </c>
      <c r="V195" s="45">
        <v>0</v>
      </c>
      <c r="W195" s="69">
        <f t="shared" si="55"/>
        <v>2.625</v>
      </c>
      <c r="X195" s="75">
        <f t="shared" si="56"/>
        <v>1.228</v>
      </c>
      <c r="Y195" s="76">
        <f t="shared" si="57"/>
        <v>1.228</v>
      </c>
      <c r="Z195" s="16" t="str">
        <f t="shared" si="58"/>
        <v>открыт</v>
      </c>
    </row>
    <row r="196" spans="1:26" s="17" customFormat="1" ht="11.25">
      <c r="A196" s="41">
        <v>133</v>
      </c>
      <c r="B196" s="61" t="s">
        <v>196</v>
      </c>
      <c r="C196" s="45" t="s">
        <v>197</v>
      </c>
      <c r="D196" s="45">
        <v>0.47</v>
      </c>
      <c r="E196" s="45">
        <v>1.67</v>
      </c>
      <c r="F196" s="45">
        <v>120</v>
      </c>
      <c r="G196" s="45">
        <f t="shared" si="43"/>
        <v>-1.2</v>
      </c>
      <c r="H196" s="45">
        <v>0</v>
      </c>
      <c r="I196" s="45">
        <f>3.2*1.05</f>
        <v>3.3600000000000003</v>
      </c>
      <c r="J196" s="45">
        <f t="shared" si="54"/>
        <v>4.5600000000000005</v>
      </c>
      <c r="K196" s="45">
        <f t="shared" si="51"/>
        <v>4.5600000000000005</v>
      </c>
      <c r="L196" s="12" t="str">
        <f t="shared" si="52"/>
        <v>открыт</v>
      </c>
      <c r="M196" s="94"/>
      <c r="N196" s="41">
        <v>134</v>
      </c>
      <c r="O196" s="61" t="s">
        <v>196</v>
      </c>
      <c r="P196" s="45" t="s">
        <v>197</v>
      </c>
      <c r="Q196" s="18">
        <v>0.009</v>
      </c>
      <c r="R196" s="18">
        <f t="shared" si="44"/>
        <v>0.479</v>
      </c>
      <c r="S196" s="69">
        <f t="shared" si="49"/>
        <v>1.67</v>
      </c>
      <c r="T196" s="70">
        <f t="shared" si="49"/>
        <v>120</v>
      </c>
      <c r="U196" s="18">
        <f t="shared" si="53"/>
        <v>-1.1909999999999998</v>
      </c>
      <c r="V196" s="45">
        <v>0</v>
      </c>
      <c r="W196" s="69">
        <f t="shared" si="55"/>
        <v>3.3600000000000003</v>
      </c>
      <c r="X196" s="75">
        <f t="shared" si="56"/>
        <v>4.551</v>
      </c>
      <c r="Y196" s="76">
        <f t="shared" si="57"/>
        <v>4.551</v>
      </c>
      <c r="Z196" s="16" t="str">
        <f t="shared" si="58"/>
        <v>открыт</v>
      </c>
    </row>
    <row r="197" spans="1:26" s="17" customFormat="1" ht="11.25">
      <c r="A197" s="24">
        <v>134</v>
      </c>
      <c r="B197" s="63" t="s">
        <v>198</v>
      </c>
      <c r="C197" s="23" t="s">
        <v>26</v>
      </c>
      <c r="D197" s="23">
        <v>5.27</v>
      </c>
      <c r="E197" s="23">
        <v>0</v>
      </c>
      <c r="F197" s="23"/>
      <c r="G197" s="23">
        <f aca="true" t="shared" si="60" ref="G197:G205">D197-E197</f>
        <v>5.27</v>
      </c>
      <c r="H197" s="23">
        <v>0</v>
      </c>
      <c r="I197" s="23">
        <f>4*1.05</f>
        <v>4.2</v>
      </c>
      <c r="J197" s="23">
        <f t="shared" si="54"/>
        <v>-1.0699999999999994</v>
      </c>
      <c r="K197" s="23">
        <f t="shared" si="51"/>
        <v>-1.0699999999999994</v>
      </c>
      <c r="L197" s="28" t="str">
        <f t="shared" si="52"/>
        <v>закрыт</v>
      </c>
      <c r="M197" s="94"/>
      <c r="N197" s="24">
        <v>135</v>
      </c>
      <c r="O197" s="63" t="s">
        <v>198</v>
      </c>
      <c r="P197" s="23" t="s">
        <v>26</v>
      </c>
      <c r="Q197" s="29">
        <v>0</v>
      </c>
      <c r="R197" s="29">
        <f t="shared" si="44"/>
        <v>5.27</v>
      </c>
      <c r="S197" s="64">
        <f t="shared" si="49"/>
        <v>0</v>
      </c>
      <c r="T197" s="68"/>
      <c r="U197" s="29">
        <f t="shared" si="53"/>
        <v>5.27</v>
      </c>
      <c r="V197" s="23">
        <v>0</v>
      </c>
      <c r="W197" s="28">
        <f t="shared" si="55"/>
        <v>4.2</v>
      </c>
      <c r="X197" s="53">
        <f t="shared" si="56"/>
        <v>-1.0699999999999994</v>
      </c>
      <c r="Y197" s="30">
        <f t="shared" si="57"/>
        <v>-1.0699999999999994</v>
      </c>
      <c r="Z197" s="65" t="str">
        <f t="shared" si="58"/>
        <v>закрыт</v>
      </c>
    </row>
    <row r="198" spans="1:26" s="17" customFormat="1" ht="11.25">
      <c r="A198" s="74">
        <v>135</v>
      </c>
      <c r="B198" s="61" t="s">
        <v>199</v>
      </c>
      <c r="C198" s="45" t="s">
        <v>17</v>
      </c>
      <c r="D198" s="45">
        <v>0.68</v>
      </c>
      <c r="E198" s="45">
        <v>0.25</v>
      </c>
      <c r="F198" s="45">
        <v>120</v>
      </c>
      <c r="G198" s="45">
        <f t="shared" si="60"/>
        <v>0.43000000000000005</v>
      </c>
      <c r="H198" s="45">
        <v>0</v>
      </c>
      <c r="I198" s="19">
        <f t="shared" si="59"/>
        <v>2.625</v>
      </c>
      <c r="J198" s="19">
        <f t="shared" si="54"/>
        <v>2.195</v>
      </c>
      <c r="K198" s="19">
        <f t="shared" si="51"/>
        <v>2.195</v>
      </c>
      <c r="L198" s="12" t="str">
        <f t="shared" si="52"/>
        <v>открыт</v>
      </c>
      <c r="M198" s="94"/>
      <c r="N198" s="41">
        <v>136</v>
      </c>
      <c r="O198" s="61" t="s">
        <v>199</v>
      </c>
      <c r="P198" s="45" t="s">
        <v>17</v>
      </c>
      <c r="Q198" s="71">
        <v>0</v>
      </c>
      <c r="R198" s="18">
        <f aca="true" t="shared" si="61" ref="R198:R205">Q198+D198</f>
        <v>0.68</v>
      </c>
      <c r="S198" s="69">
        <f t="shared" si="49"/>
        <v>0.25</v>
      </c>
      <c r="T198" s="70">
        <f t="shared" si="49"/>
        <v>120</v>
      </c>
      <c r="U198" s="18">
        <f t="shared" si="53"/>
        <v>0.43000000000000005</v>
      </c>
      <c r="V198" s="45">
        <v>0</v>
      </c>
      <c r="W198" s="69">
        <f t="shared" si="55"/>
        <v>2.625</v>
      </c>
      <c r="X198" s="75">
        <f t="shared" si="56"/>
        <v>2.195</v>
      </c>
      <c r="Y198" s="76">
        <f t="shared" si="57"/>
        <v>2.195</v>
      </c>
      <c r="Z198" s="16" t="str">
        <f t="shared" si="58"/>
        <v>открыт</v>
      </c>
    </row>
    <row r="199" spans="1:26" s="17" customFormat="1" ht="11.25">
      <c r="A199" s="41">
        <v>136</v>
      </c>
      <c r="B199" s="61" t="s">
        <v>200</v>
      </c>
      <c r="C199" s="45" t="s">
        <v>17</v>
      </c>
      <c r="D199" s="45">
        <v>1.28</v>
      </c>
      <c r="E199" s="45">
        <v>0.7</v>
      </c>
      <c r="F199" s="45">
        <v>80</v>
      </c>
      <c r="G199" s="45">
        <f t="shared" si="60"/>
        <v>0.5800000000000001</v>
      </c>
      <c r="H199" s="45">
        <v>0</v>
      </c>
      <c r="I199" s="19">
        <f t="shared" si="59"/>
        <v>2.625</v>
      </c>
      <c r="J199" s="19">
        <f t="shared" si="54"/>
        <v>2.045</v>
      </c>
      <c r="K199" s="19">
        <f t="shared" si="51"/>
        <v>2.045</v>
      </c>
      <c r="L199" s="12" t="str">
        <f t="shared" si="52"/>
        <v>открыт</v>
      </c>
      <c r="M199" s="94"/>
      <c r="N199" s="41">
        <v>137</v>
      </c>
      <c r="O199" s="61" t="s">
        <v>200</v>
      </c>
      <c r="P199" s="45" t="s">
        <v>17</v>
      </c>
      <c r="Q199" s="71">
        <v>0.13</v>
      </c>
      <c r="R199" s="18">
        <f t="shared" si="61"/>
        <v>1.4100000000000001</v>
      </c>
      <c r="S199" s="69">
        <f t="shared" si="49"/>
        <v>0.7</v>
      </c>
      <c r="T199" s="70">
        <f t="shared" si="49"/>
        <v>80</v>
      </c>
      <c r="U199" s="18">
        <f t="shared" si="53"/>
        <v>0.7100000000000002</v>
      </c>
      <c r="V199" s="45">
        <v>0</v>
      </c>
      <c r="W199" s="69">
        <f t="shared" si="55"/>
        <v>2.625</v>
      </c>
      <c r="X199" s="75">
        <f t="shared" si="56"/>
        <v>1.9149999999999998</v>
      </c>
      <c r="Y199" s="76">
        <f t="shared" si="57"/>
        <v>1.9149999999999998</v>
      </c>
      <c r="Z199" s="16" t="str">
        <f t="shared" si="58"/>
        <v>открыт</v>
      </c>
    </row>
    <row r="200" spans="1:26" s="17" customFormat="1" ht="11.25">
      <c r="A200" s="41">
        <v>137</v>
      </c>
      <c r="B200" s="61" t="s">
        <v>201</v>
      </c>
      <c r="C200" s="45" t="s">
        <v>27</v>
      </c>
      <c r="D200" s="45">
        <v>1.4</v>
      </c>
      <c r="E200" s="45">
        <v>1.5</v>
      </c>
      <c r="F200" s="45">
        <v>120</v>
      </c>
      <c r="G200" s="45">
        <f t="shared" si="60"/>
        <v>-0.10000000000000009</v>
      </c>
      <c r="H200" s="45">
        <v>0</v>
      </c>
      <c r="I200" s="19">
        <f t="shared" si="59"/>
        <v>2.625</v>
      </c>
      <c r="J200" s="19">
        <f t="shared" si="54"/>
        <v>2.725</v>
      </c>
      <c r="K200" s="19">
        <f t="shared" si="51"/>
        <v>2.725</v>
      </c>
      <c r="L200" s="12" t="str">
        <f t="shared" si="52"/>
        <v>открыт</v>
      </c>
      <c r="M200" s="94"/>
      <c r="N200" s="41">
        <v>138</v>
      </c>
      <c r="O200" s="61" t="s">
        <v>201</v>
      </c>
      <c r="P200" s="45" t="s">
        <v>27</v>
      </c>
      <c r="Q200" s="71">
        <v>1.394</v>
      </c>
      <c r="R200" s="18">
        <f t="shared" si="61"/>
        <v>2.7939999999999996</v>
      </c>
      <c r="S200" s="69">
        <f t="shared" si="49"/>
        <v>1.5</v>
      </c>
      <c r="T200" s="70">
        <f t="shared" si="49"/>
        <v>120</v>
      </c>
      <c r="U200" s="18">
        <f t="shared" si="53"/>
        <v>1.2939999999999996</v>
      </c>
      <c r="V200" s="45">
        <v>0</v>
      </c>
      <c r="W200" s="69">
        <f t="shared" si="55"/>
        <v>2.625</v>
      </c>
      <c r="X200" s="75">
        <f t="shared" si="56"/>
        <v>1.3310000000000004</v>
      </c>
      <c r="Y200" s="76">
        <f t="shared" si="57"/>
        <v>1.3310000000000004</v>
      </c>
      <c r="Z200" s="16" t="str">
        <f t="shared" si="58"/>
        <v>открыт</v>
      </c>
    </row>
    <row r="201" spans="1:26" s="17" customFormat="1" ht="11.25">
      <c r="A201" s="41">
        <v>138</v>
      </c>
      <c r="B201" s="61" t="s">
        <v>202</v>
      </c>
      <c r="C201" s="45" t="s">
        <v>19</v>
      </c>
      <c r="D201" s="45">
        <v>0.47</v>
      </c>
      <c r="E201" s="45">
        <v>0.33</v>
      </c>
      <c r="F201" s="45">
        <v>120</v>
      </c>
      <c r="G201" s="45">
        <f t="shared" si="60"/>
        <v>0.13999999999999996</v>
      </c>
      <c r="H201" s="45">
        <v>0</v>
      </c>
      <c r="I201" s="45">
        <f>1.6*1.05</f>
        <v>1.6800000000000002</v>
      </c>
      <c r="J201" s="45">
        <f t="shared" si="54"/>
        <v>1.5400000000000003</v>
      </c>
      <c r="K201" s="45">
        <f t="shared" si="51"/>
        <v>1.5400000000000003</v>
      </c>
      <c r="L201" s="12" t="str">
        <f t="shared" si="52"/>
        <v>открыт</v>
      </c>
      <c r="M201" s="94"/>
      <c r="N201" s="41">
        <v>139</v>
      </c>
      <c r="O201" s="61" t="s">
        <v>202</v>
      </c>
      <c r="P201" s="45" t="s">
        <v>19</v>
      </c>
      <c r="Q201" s="71">
        <v>0.025</v>
      </c>
      <c r="R201" s="18">
        <f t="shared" si="61"/>
        <v>0.495</v>
      </c>
      <c r="S201" s="69">
        <f t="shared" si="49"/>
        <v>0.33</v>
      </c>
      <c r="T201" s="70">
        <f t="shared" si="49"/>
        <v>120</v>
      </c>
      <c r="U201" s="18">
        <f t="shared" si="53"/>
        <v>0.16499999999999998</v>
      </c>
      <c r="V201" s="45">
        <v>0</v>
      </c>
      <c r="W201" s="69">
        <f t="shared" si="55"/>
        <v>1.6800000000000002</v>
      </c>
      <c r="X201" s="75">
        <f t="shared" si="56"/>
        <v>1.5150000000000001</v>
      </c>
      <c r="Y201" s="76">
        <f t="shared" si="57"/>
        <v>1.5150000000000001</v>
      </c>
      <c r="Z201" s="16" t="str">
        <f t="shared" si="58"/>
        <v>открыт</v>
      </c>
    </row>
    <row r="202" spans="1:26" s="17" customFormat="1" ht="11.25">
      <c r="A202" s="41">
        <v>139</v>
      </c>
      <c r="B202" s="61" t="s">
        <v>203</v>
      </c>
      <c r="C202" s="45" t="s">
        <v>25</v>
      </c>
      <c r="D202" s="45">
        <v>0.24</v>
      </c>
      <c r="E202" s="45">
        <v>0</v>
      </c>
      <c r="F202" s="45">
        <v>120</v>
      </c>
      <c r="G202" s="45">
        <f t="shared" si="60"/>
        <v>0.24</v>
      </c>
      <c r="H202" s="45">
        <v>0</v>
      </c>
      <c r="I202" s="45">
        <f>1.6*1.05</f>
        <v>1.6800000000000002</v>
      </c>
      <c r="J202" s="45">
        <f t="shared" si="54"/>
        <v>1.4400000000000002</v>
      </c>
      <c r="K202" s="45">
        <f t="shared" si="51"/>
        <v>1.4400000000000002</v>
      </c>
      <c r="L202" s="12" t="str">
        <f t="shared" si="52"/>
        <v>открыт</v>
      </c>
      <c r="M202" s="94"/>
      <c r="N202" s="41">
        <v>140</v>
      </c>
      <c r="O202" s="61" t="s">
        <v>203</v>
      </c>
      <c r="P202" s="45" t="s">
        <v>25</v>
      </c>
      <c r="Q202" s="18">
        <v>0</v>
      </c>
      <c r="R202" s="18">
        <f t="shared" si="61"/>
        <v>0.24</v>
      </c>
      <c r="S202" s="69">
        <f t="shared" si="49"/>
        <v>0</v>
      </c>
      <c r="T202" s="70"/>
      <c r="U202" s="18">
        <f t="shared" si="53"/>
        <v>0.24</v>
      </c>
      <c r="V202" s="45">
        <v>0</v>
      </c>
      <c r="W202" s="69">
        <f t="shared" si="55"/>
        <v>1.6800000000000002</v>
      </c>
      <c r="X202" s="75">
        <f t="shared" si="56"/>
        <v>1.4400000000000002</v>
      </c>
      <c r="Y202" s="76">
        <f t="shared" si="57"/>
        <v>1.4400000000000002</v>
      </c>
      <c r="Z202" s="16" t="str">
        <f t="shared" si="58"/>
        <v>открыт</v>
      </c>
    </row>
    <row r="203" spans="1:26" s="17" customFormat="1" ht="11.25">
      <c r="A203" s="41">
        <v>140</v>
      </c>
      <c r="B203" s="73" t="s">
        <v>81</v>
      </c>
      <c r="C203" s="55" t="s">
        <v>167</v>
      </c>
      <c r="D203" s="45">
        <v>0.11</v>
      </c>
      <c r="E203" s="55">
        <v>0</v>
      </c>
      <c r="F203" s="55" t="s">
        <v>213</v>
      </c>
      <c r="G203" s="45">
        <f t="shared" si="60"/>
        <v>0.11</v>
      </c>
      <c r="H203" s="55">
        <v>0</v>
      </c>
      <c r="I203" s="45">
        <f>1*1.05</f>
        <v>1.05</v>
      </c>
      <c r="J203" s="45">
        <f t="shared" si="54"/>
        <v>0.9400000000000001</v>
      </c>
      <c r="K203" s="55">
        <f t="shared" si="51"/>
        <v>0.9400000000000001</v>
      </c>
      <c r="L203" s="89" t="str">
        <f t="shared" si="52"/>
        <v>открыт</v>
      </c>
      <c r="M203" s="94"/>
      <c r="N203" s="74">
        <v>37</v>
      </c>
      <c r="O203" s="73" t="s">
        <v>81</v>
      </c>
      <c r="P203" s="55" t="s">
        <v>167</v>
      </c>
      <c r="Q203" s="18">
        <v>0.012</v>
      </c>
      <c r="R203" s="71">
        <f t="shared" si="61"/>
        <v>0.122</v>
      </c>
      <c r="S203" s="69">
        <f t="shared" si="49"/>
        <v>0</v>
      </c>
      <c r="T203" s="70" t="s">
        <v>213</v>
      </c>
      <c r="U203" s="18">
        <f t="shared" si="53"/>
        <v>0.122</v>
      </c>
      <c r="V203" s="55">
        <v>0</v>
      </c>
      <c r="W203" s="69">
        <f t="shared" si="55"/>
        <v>1.05</v>
      </c>
      <c r="X203" s="75">
        <f t="shared" si="56"/>
        <v>0.928</v>
      </c>
      <c r="Y203" s="91">
        <f t="shared" si="57"/>
        <v>0.928</v>
      </c>
      <c r="Z203" s="92" t="str">
        <f t="shared" si="58"/>
        <v>открыт</v>
      </c>
    </row>
    <row r="204" spans="1:26" s="17" customFormat="1" ht="11.25">
      <c r="A204" s="41">
        <v>141</v>
      </c>
      <c r="B204" s="61" t="s">
        <v>204</v>
      </c>
      <c r="C204" s="45" t="s">
        <v>19</v>
      </c>
      <c r="D204" s="45">
        <v>1.23</v>
      </c>
      <c r="E204" s="45">
        <v>0.52</v>
      </c>
      <c r="F204" s="45">
        <v>20</v>
      </c>
      <c r="G204" s="45">
        <f t="shared" si="60"/>
        <v>0.71</v>
      </c>
      <c r="H204" s="45">
        <v>0</v>
      </c>
      <c r="I204" s="45">
        <f>1.6*1.05</f>
        <v>1.6800000000000002</v>
      </c>
      <c r="J204" s="45">
        <f t="shared" si="54"/>
        <v>0.9700000000000002</v>
      </c>
      <c r="K204" s="45">
        <f t="shared" si="51"/>
        <v>0.9700000000000002</v>
      </c>
      <c r="L204" s="12" t="str">
        <f t="shared" si="52"/>
        <v>открыт</v>
      </c>
      <c r="M204" s="94"/>
      <c r="N204" s="41">
        <v>141</v>
      </c>
      <c r="O204" s="61" t="s">
        <v>204</v>
      </c>
      <c r="P204" s="45" t="s">
        <v>19</v>
      </c>
      <c r="Q204" s="18">
        <v>0.012</v>
      </c>
      <c r="R204" s="18">
        <f t="shared" si="61"/>
        <v>1.242</v>
      </c>
      <c r="S204" s="69">
        <f t="shared" si="49"/>
        <v>0.52</v>
      </c>
      <c r="T204" s="70">
        <f t="shared" si="49"/>
        <v>20</v>
      </c>
      <c r="U204" s="18">
        <f t="shared" si="53"/>
        <v>0.722</v>
      </c>
      <c r="V204" s="45">
        <v>0</v>
      </c>
      <c r="W204" s="69">
        <f t="shared" si="55"/>
        <v>1.6800000000000002</v>
      </c>
      <c r="X204" s="75">
        <f t="shared" si="56"/>
        <v>0.9580000000000002</v>
      </c>
      <c r="Y204" s="76">
        <f t="shared" si="57"/>
        <v>0.9580000000000002</v>
      </c>
      <c r="Z204" s="16" t="str">
        <f t="shared" si="58"/>
        <v>открыт</v>
      </c>
    </row>
    <row r="205" spans="1:26" s="17" customFormat="1" ht="11.25">
      <c r="A205" s="41">
        <v>142</v>
      </c>
      <c r="B205" s="61" t="s">
        <v>205</v>
      </c>
      <c r="C205" s="45" t="s">
        <v>26</v>
      </c>
      <c r="D205" s="45">
        <v>2.54</v>
      </c>
      <c r="E205" s="45">
        <v>0.31</v>
      </c>
      <c r="F205" s="45">
        <v>80</v>
      </c>
      <c r="G205" s="45">
        <f t="shared" si="60"/>
        <v>2.23</v>
      </c>
      <c r="H205" s="45">
        <v>0</v>
      </c>
      <c r="I205" s="45">
        <f>4*1.05</f>
        <v>4.2</v>
      </c>
      <c r="J205" s="45">
        <f t="shared" si="54"/>
        <v>1.9700000000000002</v>
      </c>
      <c r="K205" s="45">
        <f t="shared" si="51"/>
        <v>1.9700000000000002</v>
      </c>
      <c r="L205" s="12" t="str">
        <f t="shared" si="52"/>
        <v>открыт</v>
      </c>
      <c r="M205" s="94"/>
      <c r="N205" s="41">
        <v>142</v>
      </c>
      <c r="O205" s="61" t="s">
        <v>205</v>
      </c>
      <c r="P205" s="45" t="s">
        <v>26</v>
      </c>
      <c r="Q205" s="18">
        <v>0.024</v>
      </c>
      <c r="R205" s="18">
        <f t="shared" si="61"/>
        <v>2.564</v>
      </c>
      <c r="S205" s="69">
        <f t="shared" si="49"/>
        <v>0.31</v>
      </c>
      <c r="T205" s="70">
        <f t="shared" si="49"/>
        <v>80</v>
      </c>
      <c r="U205" s="18">
        <f t="shared" si="53"/>
        <v>2.254</v>
      </c>
      <c r="V205" s="45">
        <v>0</v>
      </c>
      <c r="W205" s="69">
        <f t="shared" si="55"/>
        <v>4.2</v>
      </c>
      <c r="X205" s="75">
        <f t="shared" si="56"/>
        <v>1.9460000000000002</v>
      </c>
      <c r="Y205" s="76">
        <f t="shared" si="57"/>
        <v>1.9460000000000002</v>
      </c>
      <c r="Z205" s="16" t="str">
        <f t="shared" si="58"/>
        <v>открыт</v>
      </c>
    </row>
    <row r="206" spans="1:26" s="17" customFormat="1" ht="17.25" customHeight="1">
      <c r="A206" s="48"/>
      <c r="B206" s="31" t="s">
        <v>15</v>
      </c>
      <c r="C206" s="32"/>
      <c r="D206" s="32"/>
      <c r="E206" s="60"/>
      <c r="F206" s="60"/>
      <c r="G206" s="32"/>
      <c r="H206" s="32"/>
      <c r="I206" s="32"/>
      <c r="J206" s="32"/>
      <c r="K206" s="32"/>
      <c r="L206" s="25"/>
      <c r="M206" s="94"/>
      <c r="N206" s="56"/>
      <c r="O206" s="31" t="s">
        <v>15</v>
      </c>
      <c r="P206" s="32"/>
      <c r="Q206" s="79">
        <f>SUM(Q6:Q205)</f>
        <v>137.05599999999995</v>
      </c>
      <c r="R206" s="79">
        <f>SUM(R6:R205)</f>
        <v>784.1110000000003</v>
      </c>
      <c r="S206" s="25"/>
      <c r="T206" s="25"/>
      <c r="U206" s="25"/>
      <c r="V206" s="25"/>
      <c r="W206" s="25"/>
      <c r="X206" s="25"/>
      <c r="Y206" s="25"/>
      <c r="Z206" s="25"/>
    </row>
    <row r="207" spans="1:26" s="17" customFormat="1" ht="18.75" customHeight="1">
      <c r="A207" s="49"/>
      <c r="B207" s="25" t="s">
        <v>12</v>
      </c>
      <c r="C207" s="32"/>
      <c r="D207" s="32"/>
      <c r="E207" s="32"/>
      <c r="F207" s="32"/>
      <c r="G207" s="32"/>
      <c r="H207" s="32"/>
      <c r="I207" s="32"/>
      <c r="J207" s="32"/>
      <c r="K207" s="86">
        <f>K16+K31+K32+K44+K197</f>
        <v>-2.964999999999999</v>
      </c>
      <c r="L207" s="25"/>
      <c r="M207" s="94"/>
      <c r="N207" s="57"/>
      <c r="O207" s="25" t="s">
        <v>12</v>
      </c>
      <c r="P207" s="32"/>
      <c r="Q207" s="25"/>
      <c r="R207" s="25"/>
      <c r="S207" s="25"/>
      <c r="T207" s="25"/>
      <c r="U207" s="25"/>
      <c r="V207" s="25"/>
      <c r="W207" s="25"/>
      <c r="X207" s="25"/>
      <c r="Y207" s="34">
        <f>Y13+Y16+Y31+Y32+Y44+Y68+Y76+Y87+Y197</f>
        <v>-7.847999999999993</v>
      </c>
      <c r="Z207" s="25"/>
    </row>
    <row r="208" spans="1:26" s="17" customFormat="1" ht="11.25">
      <c r="A208" s="50"/>
      <c r="B208" s="25" t="s">
        <v>13</v>
      </c>
      <c r="C208" s="32"/>
      <c r="D208" s="32"/>
      <c r="E208" s="32"/>
      <c r="F208" s="32"/>
      <c r="G208" s="32"/>
      <c r="H208" s="32"/>
      <c r="I208" s="32"/>
      <c r="J208" s="32"/>
      <c r="K208" s="77">
        <f>SUM(K6:K15)+SUM(K19:K30)+SUM(K33:K43)+SUM(K47:K196)+SUM(K198:K205)</f>
        <v>568.0050000000001</v>
      </c>
      <c r="L208" s="25"/>
      <c r="M208" s="94"/>
      <c r="N208" s="58"/>
      <c r="O208" s="25" t="s">
        <v>13</v>
      </c>
      <c r="P208" s="32"/>
      <c r="Q208" s="25"/>
      <c r="R208" s="25"/>
      <c r="S208" s="25"/>
      <c r="T208" s="25"/>
      <c r="U208" s="25"/>
      <c r="V208" s="25"/>
      <c r="W208" s="25"/>
      <c r="X208" s="25"/>
      <c r="Y208" s="33">
        <f>SUM(Y6:Y12)+SUM(Y19:Y30)+SUM(Y33:Y43)+SUM(Y47:Y67)+Y69+Y70+Y73+Y74+Y75+Y77+Y78+Y79+Y82+Y85+Y86+SUM(Y88:Y196)+SUM(Y198:Y205)</f>
        <v>503.687</v>
      </c>
      <c r="Z208" s="25"/>
    </row>
    <row r="209" spans="1:25" ht="15">
      <c r="A209" s="5"/>
      <c r="B209" s="1"/>
      <c r="C209" s="51"/>
      <c r="D209" s="51"/>
      <c r="E209" s="51"/>
      <c r="F209" s="51"/>
      <c r="G209" s="5"/>
      <c r="H209" s="5"/>
      <c r="I209" s="5"/>
      <c r="J209" s="52"/>
      <c r="K209" s="78"/>
      <c r="L209" s="1"/>
      <c r="M209" s="95"/>
      <c r="Y209" s="80"/>
    </row>
    <row r="210" ht="15">
      <c r="M210" s="95"/>
    </row>
    <row r="211" ht="15">
      <c r="M211" s="95"/>
    </row>
    <row r="212" ht="15">
      <c r="M212" s="96"/>
    </row>
  </sheetData>
  <sheetProtection/>
  <mergeCells count="177">
    <mergeCell ref="A28:A30"/>
    <mergeCell ref="K63:K65"/>
    <mergeCell ref="K104:K106"/>
    <mergeCell ref="L2:L4"/>
    <mergeCell ref="C2:K2"/>
    <mergeCell ref="A13:A15"/>
    <mergeCell ref="A16:A18"/>
    <mergeCell ref="A23:A25"/>
    <mergeCell ref="K92:K94"/>
    <mergeCell ref="A2:A4"/>
    <mergeCell ref="B2:B4"/>
    <mergeCell ref="J3:J4"/>
    <mergeCell ref="C3:C4"/>
    <mergeCell ref="D3:D4"/>
    <mergeCell ref="E3:F3"/>
    <mergeCell ref="G3:G4"/>
    <mergeCell ref="H3:H4"/>
    <mergeCell ref="I3:I4"/>
    <mergeCell ref="L100:L102"/>
    <mergeCell ref="A44:A46"/>
    <mergeCell ref="K160:K162"/>
    <mergeCell ref="L160:L162"/>
    <mergeCell ref="K131:K133"/>
    <mergeCell ref="L131:L133"/>
    <mergeCell ref="K135:K137"/>
    <mergeCell ref="L135:L137"/>
    <mergeCell ref="K138:K140"/>
    <mergeCell ref="L138:L140"/>
    <mergeCell ref="A47:A49"/>
    <mergeCell ref="K44:K46"/>
    <mergeCell ref="L44:L46"/>
    <mergeCell ref="K47:K49"/>
    <mergeCell ref="L47:L49"/>
    <mergeCell ref="A41:A43"/>
    <mergeCell ref="L16:L18"/>
    <mergeCell ref="K23:K25"/>
    <mergeCell ref="K124:K126"/>
    <mergeCell ref="L124:L126"/>
    <mergeCell ref="L92:L94"/>
    <mergeCell ref="K79:K81"/>
    <mergeCell ref="L79:L81"/>
    <mergeCell ref="K82:K84"/>
    <mergeCell ref="L82:L84"/>
    <mergeCell ref="K175:K177"/>
    <mergeCell ref="L175:L177"/>
    <mergeCell ref="K178:K180"/>
    <mergeCell ref="L178:L180"/>
    <mergeCell ref="K70:K72"/>
    <mergeCell ref="L70:L72"/>
    <mergeCell ref="K141:K143"/>
    <mergeCell ref="L141:L143"/>
    <mergeCell ref="L104:L106"/>
    <mergeCell ref="K114:K116"/>
    <mergeCell ref="L114:L116"/>
    <mergeCell ref="K117:K119"/>
    <mergeCell ref="L117:L119"/>
    <mergeCell ref="K100:K102"/>
    <mergeCell ref="N13:N15"/>
    <mergeCell ref="Y41:Y43"/>
    <mergeCell ref="K172:K174"/>
    <mergeCell ref="L172:L174"/>
    <mergeCell ref="Y70:Y72"/>
    <mergeCell ref="N44:N46"/>
    <mergeCell ref="N47:N49"/>
    <mergeCell ref="N63:N65"/>
    <mergeCell ref="N70:N72"/>
    <mergeCell ref="L63:L65"/>
    <mergeCell ref="Y141:Y143"/>
    <mergeCell ref="N28:N30"/>
    <mergeCell ref="N41:N43"/>
    <mergeCell ref="K13:K15"/>
    <mergeCell ref="L13:L15"/>
    <mergeCell ref="L23:L25"/>
    <mergeCell ref="K28:K30"/>
    <mergeCell ref="L28:L30"/>
    <mergeCell ref="K41:K43"/>
    <mergeCell ref="L41:L43"/>
    <mergeCell ref="N135:N137"/>
    <mergeCell ref="N138:N140"/>
    <mergeCell ref="N141:N143"/>
    <mergeCell ref="Y79:Y81"/>
    <mergeCell ref="Y117:Y119"/>
    <mergeCell ref="Y124:Y126"/>
    <mergeCell ref="N92:N94"/>
    <mergeCell ref="Y92:Y94"/>
    <mergeCell ref="Y135:Y137"/>
    <mergeCell ref="Y138:Y140"/>
    <mergeCell ref="Z44:Z46"/>
    <mergeCell ref="K3:K4"/>
    <mergeCell ref="K16:K18"/>
    <mergeCell ref="N2:N4"/>
    <mergeCell ref="Y44:Y46"/>
    <mergeCell ref="O2:O4"/>
    <mergeCell ref="P2:Y2"/>
    <mergeCell ref="N16:N18"/>
    <mergeCell ref="N23:N25"/>
    <mergeCell ref="X3:X4"/>
    <mergeCell ref="N124:N126"/>
    <mergeCell ref="Y100:Y102"/>
    <mergeCell ref="Z100:Z102"/>
    <mergeCell ref="Y104:Y106"/>
    <mergeCell ref="Z104:Z106"/>
    <mergeCell ref="Y114:Y116"/>
    <mergeCell ref="N100:N102"/>
    <mergeCell ref="N104:N106"/>
    <mergeCell ref="L169:L171"/>
    <mergeCell ref="K163:K165"/>
    <mergeCell ref="L163:L165"/>
    <mergeCell ref="K166:K168"/>
    <mergeCell ref="L166:L168"/>
    <mergeCell ref="K169:K171"/>
    <mergeCell ref="Y3:Y4"/>
    <mergeCell ref="Y13:Y15"/>
    <mergeCell ref="Z41:Z43"/>
    <mergeCell ref="K127:K129"/>
    <mergeCell ref="L127:L129"/>
    <mergeCell ref="N79:N81"/>
    <mergeCell ref="N82:N84"/>
    <mergeCell ref="Y82:Y84"/>
    <mergeCell ref="Z82:Z84"/>
    <mergeCell ref="Z79:Z81"/>
    <mergeCell ref="Y28:Y30"/>
    <mergeCell ref="Z28:Z30"/>
    <mergeCell ref="Z2:Z4"/>
    <mergeCell ref="P3:P4"/>
    <mergeCell ref="Q3:Q4"/>
    <mergeCell ref="R3:R4"/>
    <mergeCell ref="S3:T3"/>
    <mergeCell ref="U3:U4"/>
    <mergeCell ref="V3:V4"/>
    <mergeCell ref="W3:W4"/>
    <mergeCell ref="Z13:Z15"/>
    <mergeCell ref="Y16:Y18"/>
    <mergeCell ref="Z16:Z18"/>
    <mergeCell ref="Y23:Y25"/>
    <mergeCell ref="Z23:Z25"/>
    <mergeCell ref="Z135:Z137"/>
    <mergeCell ref="Z166:Z168"/>
    <mergeCell ref="Z169:Z171"/>
    <mergeCell ref="Z138:Z140"/>
    <mergeCell ref="Z141:Z143"/>
    <mergeCell ref="Z172:Z174"/>
    <mergeCell ref="Y175:Y177"/>
    <mergeCell ref="Z175:Z177"/>
    <mergeCell ref="Y178:Y180"/>
    <mergeCell ref="Z178:Z180"/>
    <mergeCell ref="N163:N165"/>
    <mergeCell ref="N166:N168"/>
    <mergeCell ref="N169:N171"/>
    <mergeCell ref="N160:N162"/>
    <mergeCell ref="Y131:Y133"/>
    <mergeCell ref="Z131:Z133"/>
    <mergeCell ref="N127:N129"/>
    <mergeCell ref="N131:N133"/>
    <mergeCell ref="N178:N180"/>
    <mergeCell ref="Y166:Y168"/>
    <mergeCell ref="Y169:Y171"/>
    <mergeCell ref="Y172:Y174"/>
    <mergeCell ref="N172:N174"/>
    <mergeCell ref="N175:N177"/>
    <mergeCell ref="Z124:Z126"/>
    <mergeCell ref="Z92:Z94"/>
    <mergeCell ref="Y160:Y162"/>
    <mergeCell ref="Z160:Z162"/>
    <mergeCell ref="Y163:Y165"/>
    <mergeCell ref="Z163:Z165"/>
    <mergeCell ref="Y127:Y129"/>
    <mergeCell ref="Z127:Z129"/>
    <mergeCell ref="Z47:Z49"/>
    <mergeCell ref="Y63:Y65"/>
    <mergeCell ref="Z63:Z65"/>
    <mergeCell ref="N117:N119"/>
    <mergeCell ref="N114:N116"/>
    <mergeCell ref="Z70:Z72"/>
    <mergeCell ref="Z117:Z119"/>
    <mergeCell ref="Z114:Z116"/>
    <mergeCell ref="Y47:Y49"/>
  </mergeCells>
  <printOptions/>
  <pageMargins left="0.7086614173228347" right="0.7086614173228347" top="0.7480314960629921" bottom="0.7480314960629921" header="0.31496062992125984" footer="0.31496062992125984"/>
  <pageSetup fitToHeight="80" horizontalDpi="300" verticalDpi="300" orientation="portrait" paperSize="9" scale="65" r:id="rId1"/>
  <ignoredErrors>
    <ignoredError sqref="I192 I188 I96 I98 I146 I134 I150 I153:I154 I105 I123 R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4">
      <selection activeCell="J14" sqref="J14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61" t="s">
        <v>216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6" customFormat="1" ht="15" customHeight="1">
      <c r="A2" s="120" t="s">
        <v>1</v>
      </c>
      <c r="B2" s="155" t="s">
        <v>2</v>
      </c>
      <c r="C2" s="156"/>
      <c r="D2" s="37"/>
      <c r="E2" s="37"/>
      <c r="F2" s="37"/>
      <c r="G2" s="37"/>
      <c r="H2" s="37"/>
      <c r="I2" s="37"/>
      <c r="J2" s="90" t="s">
        <v>44</v>
      </c>
    </row>
    <row r="3" spans="1:10" s="6" customFormat="1" ht="15" customHeight="1">
      <c r="A3" s="121"/>
      <c r="B3" s="157"/>
      <c r="C3" s="158"/>
      <c r="D3" s="38"/>
      <c r="E3" s="38"/>
      <c r="F3" s="38"/>
      <c r="G3" s="38"/>
      <c r="H3" s="38"/>
      <c r="I3" s="38"/>
      <c r="J3" s="153"/>
    </row>
    <row r="4" spans="1:10" s="6" customFormat="1" ht="194.25" customHeight="1">
      <c r="A4" s="122"/>
      <c r="B4" s="159"/>
      <c r="C4" s="160"/>
      <c r="D4" s="39"/>
      <c r="E4" s="39"/>
      <c r="F4" s="39"/>
      <c r="G4" s="39"/>
      <c r="H4" s="39"/>
      <c r="I4" s="39"/>
      <c r="J4" s="154"/>
    </row>
    <row r="5" spans="1:10" s="11" customFormat="1" ht="15" customHeight="1">
      <c r="A5" s="162" t="s">
        <v>210</v>
      </c>
      <c r="B5" s="163"/>
      <c r="C5" s="163"/>
      <c r="D5" s="163"/>
      <c r="E5" s="163"/>
      <c r="F5" s="163"/>
      <c r="G5" s="163"/>
      <c r="H5" s="163"/>
      <c r="I5" s="163"/>
      <c r="J5" s="164"/>
    </row>
    <row r="6" spans="1:10" s="11" customFormat="1" ht="15">
      <c r="A6" s="168">
        <v>1</v>
      </c>
      <c r="B6" s="81" t="str">
        <f>Орел!B16</f>
        <v>ПС 110/35/10 кВ Новополево </v>
      </c>
      <c r="C6" s="8">
        <f>Орел!C16</f>
        <v>16</v>
      </c>
      <c r="D6" s="7"/>
      <c r="E6" s="7"/>
      <c r="F6" s="8"/>
      <c r="G6" s="8"/>
      <c r="H6" s="8"/>
      <c r="I6" s="7"/>
      <c r="J6" s="165">
        <f>Орел!K16</f>
        <v>-0.2699999999999998</v>
      </c>
    </row>
    <row r="7" spans="1:10" s="11" customFormat="1" ht="15">
      <c r="A7" s="169"/>
      <c r="B7" s="81" t="str">
        <f>Орел!B17</f>
        <v>Ном. мощность СН; МВА</v>
      </c>
      <c r="C7" s="8">
        <f>Орел!C17</f>
        <v>16</v>
      </c>
      <c r="D7" s="2"/>
      <c r="E7" s="2"/>
      <c r="F7" s="9"/>
      <c r="G7" s="9"/>
      <c r="H7" s="9"/>
      <c r="I7" s="2"/>
      <c r="J7" s="166"/>
    </row>
    <row r="8" spans="1:10" s="11" customFormat="1" ht="15">
      <c r="A8" s="170"/>
      <c r="B8" s="81" t="str">
        <f>Орел!B18</f>
        <v>Ном. мощность НН; МВА</v>
      </c>
      <c r="C8" s="8">
        <f>Орел!C18</f>
        <v>16</v>
      </c>
      <c r="D8" s="2"/>
      <c r="E8" s="2"/>
      <c r="F8" s="9"/>
      <c r="G8" s="9"/>
      <c r="H8" s="9"/>
      <c r="I8" s="2"/>
      <c r="J8" s="167"/>
    </row>
    <row r="9" spans="1:10" s="11" customFormat="1" ht="15">
      <c r="A9" s="4">
        <v>2</v>
      </c>
      <c r="B9" s="83" t="str">
        <f>Орел!B31</f>
        <v>ПС 110/10 кВ  Пищевая</v>
      </c>
      <c r="C9" s="9">
        <f>Орел!C31</f>
        <v>6.3</v>
      </c>
      <c r="D9" s="9">
        <f>Орел!D31</f>
        <v>2.57</v>
      </c>
      <c r="E9" s="9">
        <f>Орел!E31</f>
        <v>1.875</v>
      </c>
      <c r="F9" s="9">
        <f>Орел!F31</f>
        <v>60</v>
      </c>
      <c r="G9" s="9">
        <f>Орел!G31</f>
        <v>1.875</v>
      </c>
      <c r="H9" s="9">
        <f>Орел!H31</f>
        <v>0</v>
      </c>
      <c r="I9" s="9">
        <f>Орел!I31</f>
        <v>1.875</v>
      </c>
      <c r="J9" s="104">
        <f>Орел!K31</f>
        <v>-0.6949999999999998</v>
      </c>
    </row>
    <row r="10" spans="1:10" s="11" customFormat="1" ht="15">
      <c r="A10" s="4">
        <v>3</v>
      </c>
      <c r="B10" s="83" t="str">
        <f>Орел!B32</f>
        <v>ПС 110/10 кВ  Тельчье</v>
      </c>
      <c r="C10" s="9">
        <f>Орел!C32</f>
        <v>3.2</v>
      </c>
      <c r="D10" s="9">
        <f>Орел!D32</f>
        <v>1.65</v>
      </c>
      <c r="E10" s="9">
        <f>Орел!E32</f>
        <v>1.46</v>
      </c>
      <c r="F10" s="9">
        <f>Орел!F32</f>
        <v>120</v>
      </c>
      <c r="G10" s="9">
        <f>Орел!G32</f>
        <v>1.46</v>
      </c>
      <c r="H10" s="9">
        <f>Орел!H32</f>
        <v>0</v>
      </c>
      <c r="I10" s="9">
        <f>Орел!I32</f>
        <v>1.46</v>
      </c>
      <c r="J10" s="9">
        <f>Орел!K32</f>
        <v>-0.18999999999999995</v>
      </c>
    </row>
    <row r="11" spans="1:10" s="11" customFormat="1" ht="15">
      <c r="A11" s="168">
        <v>4</v>
      </c>
      <c r="B11" s="84" t="str">
        <f>Орел!B44</f>
        <v>ПС 110/35/10 кВ Шатилово</v>
      </c>
      <c r="C11" s="82">
        <f>Орел!C44</f>
        <v>10</v>
      </c>
      <c r="D11" s="82">
        <f>Орел!D44</f>
        <v>1.43</v>
      </c>
      <c r="E11" s="82">
        <f>Орел!E44</f>
        <v>0.6900000000000001</v>
      </c>
      <c r="F11" s="82">
        <f>Орел!F44</f>
        <v>120</v>
      </c>
      <c r="G11" s="82">
        <f>Орел!G44</f>
        <v>0.6900000000000001</v>
      </c>
      <c r="H11" s="82">
        <f>Орел!H44</f>
        <v>0</v>
      </c>
      <c r="I11" s="82">
        <f>Орел!I44</f>
        <v>0.6900000000000001</v>
      </c>
      <c r="J11" s="171">
        <f>Орел!K44</f>
        <v>-0.7399999999999999</v>
      </c>
    </row>
    <row r="12" spans="1:10" s="11" customFormat="1" ht="15">
      <c r="A12" s="169"/>
      <c r="B12" s="84" t="str">
        <f>Орел!B45</f>
        <v>Ном. мощность СН; МВА</v>
      </c>
      <c r="C12" s="82">
        <f>Орел!C45</f>
        <v>10</v>
      </c>
      <c r="D12" s="82">
        <f>Орел!D45</f>
        <v>0.53</v>
      </c>
      <c r="E12" s="82">
        <f>Орел!E45</f>
        <v>0.16</v>
      </c>
      <c r="F12" s="82">
        <f>Орел!F45</f>
        <v>180</v>
      </c>
      <c r="G12" s="82">
        <f>Орел!G45</f>
        <v>0.16</v>
      </c>
      <c r="H12" s="82">
        <f>Орел!H45</f>
        <v>0</v>
      </c>
      <c r="I12" s="82">
        <f>Орел!I45</f>
        <v>0.16</v>
      </c>
      <c r="J12" s="172"/>
    </row>
    <row r="13" spans="1:10" s="11" customFormat="1" ht="15">
      <c r="A13" s="170"/>
      <c r="B13" s="84" t="str">
        <f>Орел!B46</f>
        <v>Ном. мощность НН; МВА</v>
      </c>
      <c r="C13" s="82">
        <f>Орел!C46</f>
        <v>10</v>
      </c>
      <c r="D13" s="82">
        <f>Орел!D46</f>
        <v>0.91</v>
      </c>
      <c r="E13" s="82">
        <f>Орел!E46</f>
        <v>0.53</v>
      </c>
      <c r="F13" s="82">
        <f>Орел!F46</f>
        <v>120</v>
      </c>
      <c r="G13" s="82">
        <f>Орел!G46</f>
        <v>0.53</v>
      </c>
      <c r="H13" s="82">
        <f>Орел!H46</f>
        <v>0</v>
      </c>
      <c r="I13" s="82">
        <f>Орел!I46</f>
        <v>0.53</v>
      </c>
      <c r="J13" s="173"/>
    </row>
    <row r="14" spans="1:10" s="11" customFormat="1" ht="15">
      <c r="A14" s="54">
        <v>5</v>
      </c>
      <c r="B14" s="85" t="str">
        <f>Орел!B197</f>
        <v>ПС 35/6 кВ Пушкарская</v>
      </c>
      <c r="C14" s="3" t="str">
        <f>Орел!C197</f>
        <v>4+4</v>
      </c>
      <c r="D14" s="3">
        <f>Орел!D197</f>
        <v>5.27</v>
      </c>
      <c r="E14" s="3">
        <f>Орел!E197</f>
        <v>0</v>
      </c>
      <c r="F14" s="3">
        <f>Орел!F197</f>
        <v>0</v>
      </c>
      <c r="G14" s="3">
        <f>Орел!G197</f>
        <v>5.27</v>
      </c>
      <c r="H14" s="3">
        <f>Орел!H197</f>
        <v>0</v>
      </c>
      <c r="I14" s="3">
        <f>Орел!I197</f>
        <v>4.2</v>
      </c>
      <c r="J14" s="3">
        <f>Орел!K197</f>
        <v>-1.0699999999999994</v>
      </c>
    </row>
    <row r="15" spans="1:10" s="22" customFormat="1" ht="15" customHeight="1">
      <c r="A15" s="117" t="s">
        <v>217</v>
      </c>
      <c r="B15" s="118"/>
      <c r="C15" s="118"/>
      <c r="D15" s="119"/>
      <c r="E15" s="20"/>
      <c r="F15" s="21"/>
      <c r="G15" s="21"/>
      <c r="H15" s="21"/>
      <c r="I15" s="20"/>
      <c r="J15" s="21">
        <f>SUM(J6:J14)</f>
        <v>-2.964999999999999</v>
      </c>
    </row>
  </sheetData>
  <sheetProtection/>
  <mergeCells count="10">
    <mergeCell ref="A1:J1"/>
    <mergeCell ref="A5:J5"/>
    <mergeCell ref="J6:J8"/>
    <mergeCell ref="A6:A8"/>
    <mergeCell ref="A15:D15"/>
    <mergeCell ref="A2:A4"/>
    <mergeCell ref="J2:J4"/>
    <mergeCell ref="B2:C4"/>
    <mergeCell ref="A11:A13"/>
    <mergeCell ref="J11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4">
      <selection activeCell="L22" sqref="L22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3.574218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6" bestFit="1" customWidth="1"/>
    <col min="13" max="13" width="10.8515625" style="6" customWidth="1"/>
    <col min="14" max="16384" width="9.140625" style="6" customWidth="1"/>
  </cols>
  <sheetData>
    <row r="1" spans="1:256" s="10" customFormat="1" ht="72.75" customHeight="1">
      <c r="A1" s="161" t="s">
        <v>211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5" customFormat="1" ht="15" customHeight="1">
      <c r="A2" s="177" t="s">
        <v>1</v>
      </c>
      <c r="B2" s="188" t="s">
        <v>2</v>
      </c>
      <c r="C2" s="180" t="s">
        <v>35</v>
      </c>
      <c r="D2" s="181"/>
      <c r="E2" s="181"/>
      <c r="F2" s="181"/>
      <c r="G2" s="181"/>
      <c r="H2" s="181"/>
      <c r="I2" s="181"/>
      <c r="J2" s="181"/>
      <c r="K2" s="181"/>
      <c r="L2" s="182"/>
      <c r="M2" s="183" t="s">
        <v>14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5" customFormat="1" ht="11.25" customHeight="1">
      <c r="A3" s="178"/>
      <c r="B3" s="188"/>
      <c r="C3" s="188" t="s">
        <v>36</v>
      </c>
      <c r="D3" s="188" t="s">
        <v>37</v>
      </c>
      <c r="E3" s="188" t="s">
        <v>38</v>
      </c>
      <c r="F3" s="188" t="s">
        <v>39</v>
      </c>
      <c r="G3" s="188"/>
      <c r="H3" s="188" t="s">
        <v>40</v>
      </c>
      <c r="I3" s="188" t="s">
        <v>8</v>
      </c>
      <c r="J3" s="188" t="s">
        <v>9</v>
      </c>
      <c r="K3" s="188" t="s">
        <v>43</v>
      </c>
      <c r="L3" s="186" t="s">
        <v>42</v>
      </c>
      <c r="M3" s="18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47" customHeight="1">
      <c r="A4" s="179"/>
      <c r="B4" s="188"/>
      <c r="C4" s="188"/>
      <c r="D4" s="188"/>
      <c r="E4" s="188"/>
      <c r="F4" s="35" t="s">
        <v>10</v>
      </c>
      <c r="G4" s="35" t="s">
        <v>11</v>
      </c>
      <c r="H4" s="188"/>
      <c r="I4" s="188"/>
      <c r="J4" s="188"/>
      <c r="K4" s="188"/>
      <c r="L4" s="187"/>
      <c r="M4" s="18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1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4</v>
      </c>
      <c r="M5" s="36">
        <v>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13" ht="15">
      <c r="A6" s="189" t="s">
        <v>210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256" s="40" customFormat="1" ht="15">
      <c r="A7" s="190">
        <v>1</v>
      </c>
      <c r="B7" s="81" t="str">
        <f>Орел!B16</f>
        <v>ПС 110/35/10 кВ Новополево </v>
      </c>
      <c r="C7" s="8">
        <f>Орел!C16</f>
        <v>16</v>
      </c>
      <c r="D7" s="7"/>
      <c r="E7" s="7"/>
      <c r="F7" s="8"/>
      <c r="G7" s="8"/>
      <c r="H7" s="8"/>
      <c r="I7" s="7"/>
      <c r="J7" s="165">
        <f>Орел!K17</f>
        <v>0</v>
      </c>
      <c r="K7" s="45"/>
      <c r="L7" s="174">
        <f>Орел!Y16</f>
        <v>-0.7009999999999998</v>
      </c>
      <c r="M7" s="6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40" customFormat="1" ht="15">
      <c r="A8" s="191"/>
      <c r="B8" s="81" t="str">
        <f>Орел!B17</f>
        <v>Ном. мощность СН; МВА</v>
      </c>
      <c r="C8" s="8">
        <f>Орел!C17</f>
        <v>16</v>
      </c>
      <c r="D8" s="7"/>
      <c r="E8" s="7"/>
      <c r="F8" s="8"/>
      <c r="G8" s="8"/>
      <c r="H8" s="8"/>
      <c r="I8" s="7"/>
      <c r="J8" s="166"/>
      <c r="K8" s="45"/>
      <c r="L8" s="175"/>
      <c r="M8" s="6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40" customFormat="1" ht="15">
      <c r="A9" s="192"/>
      <c r="B9" s="81" t="str">
        <f>Орел!B18</f>
        <v>Ном. мощность НН; МВА</v>
      </c>
      <c r="C9" s="8">
        <f>Орел!C18</f>
        <v>16</v>
      </c>
      <c r="D9" s="2"/>
      <c r="E9" s="2"/>
      <c r="F9" s="9"/>
      <c r="G9" s="9"/>
      <c r="H9" s="9"/>
      <c r="I9" s="2"/>
      <c r="J9" s="166"/>
      <c r="K9" s="45"/>
      <c r="L9" s="176"/>
      <c r="M9" s="1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40" customFormat="1" ht="15">
      <c r="A10" s="190">
        <v>2</v>
      </c>
      <c r="B10" s="81" t="str">
        <f>Орел!O13</f>
        <v>ПС 110/35/10 кВ Малоархангельская</v>
      </c>
      <c r="C10" s="8">
        <f>Орел!C13</f>
        <v>10</v>
      </c>
      <c r="D10" s="7"/>
      <c r="E10" s="7"/>
      <c r="F10" s="8"/>
      <c r="G10" s="8"/>
      <c r="H10" s="8"/>
      <c r="I10" s="7"/>
      <c r="J10" s="165">
        <f>Орел!K20</f>
        <v>0.32999999999999996</v>
      </c>
      <c r="K10" s="45"/>
      <c r="L10" s="174">
        <f>Орел!Y13</f>
        <v>-2.9830000000000005</v>
      </c>
      <c r="M10" s="6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0" customFormat="1" ht="15">
      <c r="A11" s="191"/>
      <c r="B11" s="81" t="str">
        <f>Орел!O14</f>
        <v>Ном. мощность СН; МВА</v>
      </c>
      <c r="C11" s="8">
        <f>Орел!C14</f>
        <v>10</v>
      </c>
      <c r="D11" s="7"/>
      <c r="E11" s="7"/>
      <c r="F11" s="8"/>
      <c r="G11" s="8"/>
      <c r="H11" s="8"/>
      <c r="I11" s="7"/>
      <c r="J11" s="166"/>
      <c r="K11" s="45"/>
      <c r="L11" s="175"/>
      <c r="M11" s="6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40" customFormat="1" ht="15">
      <c r="A12" s="192"/>
      <c r="B12" s="81" t="str">
        <f>Орел!O15</f>
        <v>Ном. мощность НН; МВА</v>
      </c>
      <c r="C12" s="8">
        <f>Орел!C15</f>
        <v>10</v>
      </c>
      <c r="D12" s="2"/>
      <c r="E12" s="2"/>
      <c r="F12" s="9"/>
      <c r="G12" s="9"/>
      <c r="H12" s="9"/>
      <c r="I12" s="2"/>
      <c r="J12" s="166"/>
      <c r="K12" s="45"/>
      <c r="L12" s="176"/>
      <c r="M12" s="1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40" customFormat="1" ht="15">
      <c r="A13" s="98">
        <v>3</v>
      </c>
      <c r="B13" s="81" t="str">
        <f>Орел!O31</f>
        <v>ПС 110/10 кВ  Пищевая</v>
      </c>
      <c r="C13" s="8">
        <f>Орел!C31</f>
        <v>6.3</v>
      </c>
      <c r="D13" s="8">
        <f>Орел!D31</f>
        <v>2.57</v>
      </c>
      <c r="E13" s="8">
        <f>Орел!E31</f>
        <v>1.875</v>
      </c>
      <c r="F13" s="8">
        <f>Орел!F31</f>
        <v>60</v>
      </c>
      <c r="G13" s="8">
        <f>Орел!G31</f>
        <v>1.875</v>
      </c>
      <c r="H13" s="8">
        <f>Орел!H31</f>
        <v>0</v>
      </c>
      <c r="I13" s="8">
        <f>Орел!I31</f>
        <v>1.875</v>
      </c>
      <c r="J13" s="8">
        <f>Орел!J31</f>
        <v>-0.6949999999999998</v>
      </c>
      <c r="K13" s="8">
        <f>Орел!K31</f>
        <v>-0.6949999999999998</v>
      </c>
      <c r="L13" s="8">
        <f>Орел!Y31</f>
        <v>-3.048</v>
      </c>
      <c r="M13" s="1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40" customFormat="1" ht="15">
      <c r="A14" s="98">
        <v>4</v>
      </c>
      <c r="B14" s="81" t="str">
        <f>Орел!O32</f>
        <v>ПС 110/10 кВ  Тельчье</v>
      </c>
      <c r="C14" s="8">
        <f>Орел!C32</f>
        <v>3.2</v>
      </c>
      <c r="D14" s="8">
        <f>Орел!D32</f>
        <v>1.65</v>
      </c>
      <c r="E14" s="8">
        <f>Орел!E32</f>
        <v>1.46</v>
      </c>
      <c r="F14" s="8">
        <f>Орел!F32</f>
        <v>120</v>
      </c>
      <c r="G14" s="8">
        <f>Орел!G32</f>
        <v>1.46</v>
      </c>
      <c r="H14" s="8">
        <f>Орел!H32</f>
        <v>0</v>
      </c>
      <c r="I14" s="8">
        <f>Орел!I32</f>
        <v>1.46</v>
      </c>
      <c r="J14" s="8">
        <f>Орел!J32</f>
        <v>-0.18999999999999995</v>
      </c>
      <c r="K14" s="8">
        <f>Орел!K32</f>
        <v>-0.18999999999999995</v>
      </c>
      <c r="L14" s="8">
        <f>Орел!Y32</f>
        <v>-0.42100000000000004</v>
      </c>
      <c r="M14" s="1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40" customFormat="1" ht="15">
      <c r="A15" s="190">
        <v>5</v>
      </c>
      <c r="B15" s="81" t="str">
        <f>Орел!O44</f>
        <v>ПС 110/35/10 кВ Шатилово</v>
      </c>
      <c r="C15" s="101">
        <f>Орел!C44</f>
        <v>10</v>
      </c>
      <c r="D15" s="7"/>
      <c r="E15" s="7"/>
      <c r="F15" s="8"/>
      <c r="G15" s="8"/>
      <c r="H15" s="8"/>
      <c r="I15" s="7"/>
      <c r="J15" s="165">
        <f>Орел!K25</f>
        <v>0</v>
      </c>
      <c r="K15" s="45"/>
      <c r="L15" s="174">
        <f>Орел!Y44</f>
        <v>-0.8130000000000001</v>
      </c>
      <c r="M15" s="6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40" customFormat="1" ht="15">
      <c r="A16" s="191"/>
      <c r="B16" s="81" t="str">
        <f>Орел!O45</f>
        <v>Ном. мощность СН; МВА</v>
      </c>
      <c r="C16" s="101">
        <f>Орел!C45</f>
        <v>10</v>
      </c>
      <c r="D16" s="7"/>
      <c r="E16" s="7"/>
      <c r="F16" s="8"/>
      <c r="G16" s="8"/>
      <c r="H16" s="8"/>
      <c r="I16" s="7"/>
      <c r="J16" s="166"/>
      <c r="K16" s="45"/>
      <c r="L16" s="175"/>
      <c r="M16" s="6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40" customFormat="1" ht="15">
      <c r="A17" s="192"/>
      <c r="B17" s="81" t="str">
        <f>Орел!O46</f>
        <v>Ном. мощность НН; МВА</v>
      </c>
      <c r="C17" s="101">
        <f>Орел!C46</f>
        <v>10</v>
      </c>
      <c r="D17" s="2"/>
      <c r="E17" s="2"/>
      <c r="F17" s="9"/>
      <c r="G17" s="9"/>
      <c r="H17" s="9"/>
      <c r="I17" s="2"/>
      <c r="J17" s="166"/>
      <c r="K17" s="45"/>
      <c r="L17" s="176"/>
      <c r="M17" s="1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40" customFormat="1" ht="15">
      <c r="A18" s="98">
        <v>6</v>
      </c>
      <c r="B18" s="123" t="str">
        <f>Орел!O68</f>
        <v>ПС 110/10 кВ Володарская </v>
      </c>
      <c r="C18" s="101" t="str">
        <f>Орел!C68</f>
        <v>2,5+6,3</v>
      </c>
      <c r="D18" s="3"/>
      <c r="E18" s="3"/>
      <c r="F18" s="99"/>
      <c r="G18" s="99"/>
      <c r="H18" s="99"/>
      <c r="I18" s="3"/>
      <c r="J18" s="100"/>
      <c r="K18" s="45"/>
      <c r="L18" s="8">
        <f>Орел!Y68</f>
        <v>-3.5309999999999997</v>
      </c>
      <c r="M18" s="1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40" customFormat="1" ht="15">
      <c r="A19" s="98">
        <v>7</v>
      </c>
      <c r="B19" s="85" t="str">
        <f>Орел!B87</f>
        <v>ПС 35/10 кВ  Кутафино </v>
      </c>
      <c r="C19" s="82" t="str">
        <f>Орел!C87</f>
        <v>1,6+1,6</v>
      </c>
      <c r="D19" s="3"/>
      <c r="E19" s="3"/>
      <c r="F19" s="3"/>
      <c r="G19" s="3"/>
      <c r="H19" s="3"/>
      <c r="I19" s="3"/>
      <c r="J19" s="3"/>
      <c r="K19" s="18"/>
      <c r="L19" s="9">
        <f>Орел!Y87</f>
        <v>-3.653</v>
      </c>
      <c r="M19" s="87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40" customFormat="1" ht="15">
      <c r="A20" s="98">
        <v>8</v>
      </c>
      <c r="B20" s="85" t="str">
        <f>Орел!B197</f>
        <v>ПС 35/6 кВ Пушкарская</v>
      </c>
      <c r="C20" s="82" t="str">
        <f>Орел!C197</f>
        <v>4+4</v>
      </c>
      <c r="D20" s="3"/>
      <c r="E20" s="3"/>
      <c r="F20" s="3"/>
      <c r="G20" s="3"/>
      <c r="H20" s="3"/>
      <c r="I20" s="3"/>
      <c r="J20" s="3"/>
      <c r="K20" s="18"/>
      <c r="L20" s="9">
        <f>Орел!Y197</f>
        <v>-1.0699999999999994</v>
      </c>
      <c r="M20" s="87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40" customFormat="1" ht="15">
      <c r="A21" s="98">
        <v>9</v>
      </c>
      <c r="B21" s="124" t="s">
        <v>218</v>
      </c>
      <c r="C21" s="82">
        <v>10</v>
      </c>
      <c r="D21" s="3"/>
      <c r="E21" s="3"/>
      <c r="F21" s="3"/>
      <c r="G21" s="3"/>
      <c r="H21" s="3"/>
      <c r="I21" s="3"/>
      <c r="J21" s="3"/>
      <c r="K21" s="18"/>
      <c r="L21" s="9">
        <f>Орел!X48</f>
        <v>-0.18599999999999905</v>
      </c>
      <c r="M21" s="87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40" customFormat="1" ht="15">
      <c r="A22" s="98">
        <v>10</v>
      </c>
      <c r="B22" s="85" t="s">
        <v>105</v>
      </c>
      <c r="C22" s="82" t="s">
        <v>16</v>
      </c>
      <c r="D22" s="3"/>
      <c r="E22" s="3"/>
      <c r="F22" s="3"/>
      <c r="G22" s="3"/>
      <c r="H22" s="3"/>
      <c r="I22" s="3"/>
      <c r="J22" s="3"/>
      <c r="K22" s="18"/>
      <c r="L22" s="9">
        <f>Орел!Y79</f>
        <v>-0.22000000000000064</v>
      </c>
      <c r="M22" s="87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40" customFormat="1" ht="15">
      <c r="A23" s="41"/>
      <c r="B23" s="85" t="s">
        <v>15</v>
      </c>
      <c r="C23" s="12"/>
      <c r="D23" s="27"/>
      <c r="E23" s="43"/>
      <c r="F23" s="27"/>
      <c r="G23" s="27"/>
      <c r="H23" s="27"/>
      <c r="I23" s="27"/>
      <c r="J23" s="27"/>
      <c r="K23" s="27"/>
      <c r="L23" s="109">
        <f>SUM(L7:L22)</f>
        <v>-16.625999999999998</v>
      </c>
      <c r="M23" s="27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</sheetData>
  <sheetProtection/>
  <mergeCells count="24">
    <mergeCell ref="K3:K4"/>
    <mergeCell ref="F3:G3"/>
    <mergeCell ref="E3:E4"/>
    <mergeCell ref="A15:A17"/>
    <mergeCell ref="J15:J17"/>
    <mergeCell ref="A10:A12"/>
    <mergeCell ref="J10:J12"/>
    <mergeCell ref="C3:C4"/>
    <mergeCell ref="J3:J4"/>
    <mergeCell ref="B2:B4"/>
    <mergeCell ref="A6:M6"/>
    <mergeCell ref="J7:J9"/>
    <mergeCell ref="A7:A9"/>
    <mergeCell ref="L7:L9"/>
    <mergeCell ref="L15:L17"/>
    <mergeCell ref="A1:M1"/>
    <mergeCell ref="A2:A4"/>
    <mergeCell ref="C2:L2"/>
    <mergeCell ref="M2:M4"/>
    <mergeCell ref="L3:L4"/>
    <mergeCell ref="H3:H4"/>
    <mergeCell ref="I3:I4"/>
    <mergeCell ref="L10:L12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2010-11-03T10:40:44Z</dcterms:modified>
  <cp:category/>
  <cp:version/>
  <cp:contentType/>
  <cp:contentStatus/>
</cp:coreProperties>
</file>